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781" activeTab="0"/>
  </bookViews>
  <sheets>
    <sheet name="Instructions" sheetId="1" r:id="rId1"/>
    <sheet name="Demande" sheetId="2" r:id="rId2"/>
    <sheet name="Consommation actuelle" sheetId="3" r:id="rId3"/>
    <sheet name="Data" sheetId="4" state="hidden" r:id="rId4"/>
    <sheet name="1. Demande" sheetId="5" state="hidden" r:id="rId5"/>
    <sheet name="2. Plan d'implantation" sheetId="6" state="hidden" r:id="rId6"/>
    <sheet name="3. Rapport détaillé des coûts" sheetId="7" state="hidden" r:id="rId7"/>
    <sheet name="Autres sites" sheetId="8" state="hidden" r:id="rId8"/>
  </sheets>
  <definedNames>
    <definedName name="_xlfn.ANCHORARRAY" hidden="1">#NAME?</definedName>
    <definedName name="_xlfn.FORECAST.LINEAR" hidden="1">#NAME?</definedName>
    <definedName name="_xlfn.IFERROR" hidden="1">#NAME?</definedName>
    <definedName name="_xlfn.SINGLE" hidden="1">#NAME?</definedName>
    <definedName name="_xlfn.SUMIFS" hidden="1">#NAME?</definedName>
    <definedName name="_xlfn.XLOOKUP" hidden="1">#NAME?</definedName>
    <definedName name="Action">'Data'!$M$6:$M$11</definedName>
    <definedName name="Activite_Gestion_Dev">'Data'!$A$174:$M$180</definedName>
    <definedName name="ActiviteTransportExport">'Data'!$A$224:$AT$244</definedName>
    <definedName name="Aide_dem">'Data'!$A$26:$A$27</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'Data'!$L$56:$L$59</definedName>
    <definedName name="Appel">'Data'!$B$7:$B$9</definedName>
    <definedName name="Autes_Sites">'Data'!$H$193:$R$222</definedName>
    <definedName name="Autres_Sites">'Data'!$G$193:$R$222</definedName>
    <definedName name="Chauffe_min">#REF!</definedName>
    <definedName name="Code_appel">'Data'!$A$7:$B$8</definedName>
    <definedName name="Connaissances">'Data'!$T$56:$T$57</definedName>
    <definedName name="Consomref">'Data'!$A$158:$K$164</definedName>
    <definedName name="Conversion">'Data'!$P$56:$P$59</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_énergétique">'Data'!$N$56</definedName>
    <definedName name="Efficacité">'Data'!$N$56</definedName>
    <definedName name="Émissions_fugitives">'Data'!$V$56:$V$57</definedName>
    <definedName name="Énergie">'Data'!$B$75:$B$116</definedName>
    <definedName name="Energie_SEQ">'Data'!$A$74:$X$117</definedName>
    <definedName name="EquipTranspoert">'Data'!$AF$30:$AF$32</definedName>
    <definedName name="EquipTransportExport">'Data'!$A$224:$T$226</definedName>
    <definedName name="Exportation">'Data'!$A$1:$FZ$2</definedName>
    <definedName name="Fin_Autre">'Data'!$B$29:$B$45</definedName>
    <definedName name="Fin_autre2">'Data'!$B$29:$C$44</definedName>
    <definedName name="Fugitive">'Data'!$AA$75:$AA$184</definedName>
    <definedName name="GESA">'Data'!$F$30:$F$34</definedName>
    <definedName name="GESB">'Data'!$K$30:$K$32</definedName>
    <definedName name="Gestion">'Data'!$R$56:$R$56</definedName>
    <definedName name="Gestion_d_énergie">'Data'!$R$56</definedName>
    <definedName name="Implantation">'2. Plan d''implantation'!$A$15:$AR$49</definedName>
    <definedName name="_xlnm.Print_Titles" localSheetId="4">'1. Demande'!$1:$3</definedName>
    <definedName name="InnoDescType">'Data'!$A$209:$D$217</definedName>
    <definedName name="Innovation">'Data'!$J$56:$J$61</definedName>
    <definedName name="Localisation">#REF!</definedName>
    <definedName name="Mesures">'Data'!$B$258:$B$266</definedName>
    <definedName name="Mesures2">'Data'!$N$262:$N$265</definedName>
    <definedName name="Montage_Fin">'Data'!$A$149:$G$156</definedName>
    <definedName name="Montage_Fin_Inno">'Data'!$A$140:$K$147</definedName>
    <definedName name="Nbremes">'Data'!$FW$2</definedName>
    <definedName name="NRJ">'Data'!$A$74:$X$125</definedName>
    <definedName name="NRJChauf">'Data'!$C$120:$C$121</definedName>
    <definedName name="NRJChauf2">'Data'!$O$119:$O$121</definedName>
    <definedName name="NRJCO2">'Data'!$B$120:$B$121</definedName>
    <definedName name="NRJEvap">'Data'!$C$120:$C$122</definedName>
    <definedName name="NRJRemplace">#REF!</definedName>
    <definedName name="OPTER">'Data'!$V$56:$V$57</definedName>
    <definedName name="Ordre">'Data'!$D$6:$D$9</definedName>
    <definedName name="PrescirptifC">'Data'!$A$1:$FZ$2</definedName>
    <definedName name="PRP">'Data'!$AA$75:$AA$184</definedName>
    <definedName name="Recom">'Data'!$K$6:$K$9</definedName>
    <definedName name="Recouvrement">#REF!</definedName>
    <definedName name="Refrigref">'Data'!$A$166:$X$172</definedName>
    <definedName name="Rep_Dep">'Data'!$A$248:$H$254</definedName>
    <definedName name="Rep_dep_Inno">'Data'!$A$257:$F$262</definedName>
    <definedName name="ResImplantation">#REF!</definedName>
    <definedName name="TxtMesures">'Data'!$F$258:$F$262</definedName>
    <definedName name="Type_Aide">'Data'!$G$16:$G$20</definedName>
    <definedName name="Type_emission">'Data'!$I$6:$I$9</definedName>
    <definedName name="Type_Entreprise">'Data'!$V$5:$V$23</definedName>
    <definedName name="Type_Entreprise2">'Data'!$AB$5:$AB$16</definedName>
    <definedName name="Type_Entreprise3">'Data'!$Z$5:$Z$23</definedName>
    <definedName name="Type_Prod">#REF!</definedName>
    <definedName name="Type_sys">'Data'!$P$6:$P$7</definedName>
    <definedName name="Types_Evaporateurs">'Data'!$N$259:$N$262</definedName>
    <definedName name="TypeSys">'Data'!$H$120:$H$122</definedName>
    <definedName name="TypeSys2">'Data'!$P$119:$P$123</definedName>
    <definedName name="Unite">'Data'!$B$47:$B$49</definedName>
    <definedName name="Unite_Masse">'Data'!$B$48:$B$49</definedName>
    <definedName name="Unite_Surface">'Data'!$E$48:$E$49</definedName>
    <definedName name="Usages">#REF!</definedName>
    <definedName name="Volet">'Data'!$F$6:$F$11</definedName>
    <definedName name="_xlnm.Print_Area" localSheetId="4">'1. Demande'!$A$1:$AR$181</definedName>
    <definedName name="_xlnm.Print_Area" localSheetId="5">'2. Plan d''implantation'!$A$1:$AF$65</definedName>
    <definedName name="_xlnm.Print_Area" localSheetId="6">'3. Rapport détaillé des coûts'!$A$1:$S$75</definedName>
    <definedName name="_xlnm.Print_Area" localSheetId="7">'Autres sites'!$A$1:$H$51</definedName>
    <definedName name="_xlnm.Print_Area" localSheetId="1">'Demande'!$A$1:$K$78</definedName>
    <definedName name="_xlnm.Print_Area" localSheetId="0">'Instructions'!$A$1:$K$49</definedName>
  </definedNames>
  <calcPr fullCalcOnLoad="1"/>
</workbook>
</file>

<file path=xl/sharedStrings.xml><?xml version="1.0" encoding="utf-8"?>
<sst xmlns="http://schemas.openxmlformats.org/spreadsheetml/2006/main" count="2372" uniqueCount="1153">
  <si>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</si>
  <si>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</si>
  <si>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</si>
  <si>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</si>
  <si>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</si>
  <si>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</si>
  <si>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</si>
  <si>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</si>
  <si>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</si>
  <si>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</si>
  <si>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</si>
  <si>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</si>
  <si>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</si>
  <si>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</si>
  <si>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</si>
  <si>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</si>
  <si>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</si>
  <si>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</si>
  <si>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</si>
  <si>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</si>
  <si>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</si>
  <si>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</si>
  <si>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</si>
  <si>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</si>
  <si>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</si>
  <si>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</si>
  <si>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</si>
  <si>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</si>
  <si>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Gouvernement (Optimisation réfrigération)</t>
  </si>
  <si>
    <t>Privé (Industriel)</t>
  </si>
  <si>
    <t>Coûts liés à l'embauche d'une personne énergie</t>
  </si>
  <si>
    <t>Équipement de mesurage, sondes et programmation</t>
  </si>
  <si>
    <t>Raison sociale</t>
  </si>
  <si>
    <r>
      <t xml:space="preserve">   </t>
    </r>
    <r>
      <rPr>
        <b/>
        <sz val="8"/>
        <rFont val="Arial"/>
        <family val="2"/>
      </rPr>
      <t>Tout autre document pertinent</t>
    </r>
    <r>
      <rPr>
        <i/>
        <sz val="8"/>
        <rFont val="Arial"/>
        <family val="2"/>
      </rPr>
      <t xml:space="preserve"> (précisez)</t>
    </r>
  </si>
  <si>
    <t>(3) Si applicable, spécifiez l'unité de production</t>
  </si>
  <si>
    <t xml:space="preserve">     3- Dans la prochaine année</t>
  </si>
  <si>
    <t>Aide financière demandée au BEIE</t>
  </si>
  <si>
    <t>Année de réalisation réelle</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</si>
  <si>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</si>
  <si>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</si>
  <si>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</si>
  <si>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</si>
  <si>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</si>
  <si>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</si>
  <si>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</si>
  <si>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</si>
  <si>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</si>
  <si>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</si>
  <si>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</si>
  <si>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</si>
  <si>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</si>
  <si>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</si>
  <si>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</si>
  <si>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</si>
  <si>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</si>
  <si>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</si>
  <si>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</si>
  <si>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</si>
  <si>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</si>
  <si>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</si>
  <si>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</si>
  <si>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N/A</t>
  </si>
  <si>
    <t>DJChauffe</t>
  </si>
  <si>
    <t>Superficie</t>
  </si>
  <si>
    <t>UnitSuperficie</t>
  </si>
  <si>
    <t>UnitProd</t>
  </si>
  <si>
    <t>Code_Activité</t>
  </si>
  <si>
    <t>Activité</t>
  </si>
  <si>
    <t>Coût_Interne</t>
  </si>
  <si>
    <t>Coût_externe</t>
  </si>
  <si>
    <t>Aide_demande</t>
  </si>
  <si>
    <t>Capacité(t)</t>
  </si>
  <si>
    <t>No</t>
  </si>
  <si>
    <t>Type</t>
  </si>
  <si>
    <t>BT</t>
  </si>
  <si>
    <t>1151210</t>
  </si>
  <si>
    <t>Privé (Optimisation réfrigération)</t>
  </si>
  <si>
    <t>OSBL (Optimisation réfrigération)</t>
  </si>
  <si>
    <t>Santé (Optimisation réfrigération)</t>
  </si>
  <si>
    <t>Éducation (Optimisation réfrigération)</t>
  </si>
  <si>
    <t>Municipal (Optimisation réfrigération)</t>
  </si>
  <si>
    <t>514</t>
  </si>
  <si>
    <t>GesAmont</t>
  </si>
  <si>
    <t>CodeMEE</t>
  </si>
  <si>
    <t>CatMEE</t>
  </si>
  <si>
    <t>Formation ISO 50001</t>
  </si>
  <si>
    <t>GrandConsom</t>
  </si>
  <si>
    <t>Commercial institutionnel</t>
  </si>
  <si>
    <t>1151201</t>
  </si>
  <si>
    <t>1158180</t>
  </si>
  <si>
    <t>Capacité_Actuel</t>
  </si>
  <si>
    <t>Ref_actuel</t>
  </si>
  <si>
    <t>PRPActuel</t>
  </si>
  <si>
    <t>Charge_Actuel</t>
  </si>
  <si>
    <t>Unite_actuel</t>
  </si>
  <si>
    <t xml:space="preserve">fuites_Actuel </t>
  </si>
  <si>
    <t>GES_actuel</t>
  </si>
  <si>
    <t>Capacité_Prevu</t>
  </si>
  <si>
    <t>Ref_prevu</t>
  </si>
  <si>
    <t>PRPprevu</t>
  </si>
  <si>
    <t>Charge_prevu</t>
  </si>
  <si>
    <t>Unite_prevu</t>
  </si>
  <si>
    <t xml:space="preserve">fuites_prevu </t>
  </si>
  <si>
    <t>GES_prevu</t>
  </si>
  <si>
    <t>Cas de référence</t>
  </si>
  <si>
    <t>Prévu</t>
  </si>
  <si>
    <t>Quantité/an</t>
  </si>
  <si>
    <t>Durée de vie</t>
  </si>
  <si>
    <t>(AAAA/MM/JJ)</t>
  </si>
  <si>
    <t>Date prévue de mise en fonction</t>
  </si>
  <si>
    <r>
      <t>N</t>
    </r>
    <r>
      <rPr>
        <sz val="8"/>
        <rFont val="Arial"/>
        <family val="2"/>
      </rPr>
      <t>º</t>
    </r>
    <r>
      <rPr>
        <sz val="8"/>
        <rFont val="Arial"/>
        <family val="2"/>
      </rPr>
      <t xml:space="preserve"> de l'entente : </t>
    </r>
  </si>
  <si>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</si>
  <si>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</si>
  <si>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</si>
  <si>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</si>
  <si>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</si>
  <si>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</si>
  <si>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</si>
  <si>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</si>
  <si>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</si>
  <si>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</si>
  <si>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</si>
  <si>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</si>
  <si>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</si>
  <si>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</si>
  <si>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Total</t>
  </si>
  <si>
    <t>Description</t>
  </si>
  <si>
    <t>Investissement</t>
  </si>
  <si>
    <t>Remarques</t>
  </si>
  <si>
    <t>Année de réalisation prévue</t>
  </si>
  <si>
    <t>$/an</t>
  </si>
  <si>
    <t>Sans aide ($)</t>
  </si>
  <si>
    <t>Avec aide ($)</t>
  </si>
  <si>
    <t>($)</t>
  </si>
  <si>
    <t>Sans aide (an)</t>
  </si>
  <si>
    <t>Avec aide (an)</t>
  </si>
  <si>
    <t>Titre du projet</t>
  </si>
  <si>
    <t>Entreprise</t>
  </si>
  <si>
    <t>Charge</t>
  </si>
  <si>
    <t>ConsDateDeb</t>
  </si>
  <si>
    <t>ConsDateFin</t>
  </si>
  <si>
    <t>TitreProj</t>
  </si>
  <si>
    <t>DateDebProj</t>
  </si>
  <si>
    <t>DateFinProj</t>
  </si>
  <si>
    <t>DateMER</t>
  </si>
  <si>
    <t>13-1943-00</t>
  </si>
  <si>
    <t>Nom du requérant :</t>
  </si>
  <si>
    <t xml:space="preserve"> Personne-ressource  :    </t>
  </si>
  <si>
    <t>Tableau sommaire du plan d'implantation</t>
  </si>
  <si>
    <t>Analyse</t>
  </si>
  <si>
    <t>Implantation</t>
  </si>
  <si>
    <r>
      <t xml:space="preserve">Quantité/unité de prod. </t>
    </r>
    <r>
      <rPr>
        <vertAlign val="superscript"/>
        <sz val="7"/>
        <rFont val="Arial"/>
        <family val="2"/>
      </rPr>
      <t>(3)</t>
    </r>
  </si>
  <si>
    <t>Code SCIAN</t>
  </si>
  <si>
    <t xml:space="preserve">Plan d'implantation des mesures </t>
  </si>
  <si>
    <t>Potentiel de réduction</t>
  </si>
  <si>
    <t>Plan d'action et suivi par le requérant</t>
  </si>
  <si>
    <t xml:space="preserve"> Date prévue de fin du projet</t>
  </si>
  <si>
    <t>Prix unitaire</t>
  </si>
  <si>
    <t>Engagement</t>
  </si>
  <si>
    <t>FORMULAIRE DE DEMANDE D'AIDE FINANCIÈRE</t>
  </si>
  <si>
    <t>Municipalité</t>
  </si>
  <si>
    <t>Échéancier :</t>
  </si>
  <si>
    <r>
      <t>Mesure n°</t>
    </r>
    <r>
      <rPr>
        <sz val="7"/>
        <rFont val="Arial"/>
        <family val="2"/>
      </rPr>
      <t xml:space="preserve"> </t>
    </r>
    <r>
      <rPr>
        <vertAlign val="superscript"/>
        <sz val="7"/>
        <rFont val="Arial"/>
        <family val="2"/>
      </rPr>
      <t>(1)</t>
    </r>
  </si>
  <si>
    <t>(2) Formes d'énergie et unités énergétiques :</t>
  </si>
  <si>
    <t xml:space="preserve">      Coûts du projet/économies nettes liées à la consommation énergétique (différence entre réductions et augmentations)</t>
  </si>
  <si>
    <r>
      <t xml:space="preserve">      Se référer au </t>
    </r>
    <r>
      <rPr>
        <i/>
        <sz val="8"/>
        <rFont val="Arial"/>
        <family val="2"/>
      </rPr>
      <t>Guide détaillé du requérant</t>
    </r>
    <r>
      <rPr>
        <sz val="8"/>
        <rFont val="Arial"/>
        <family val="2"/>
      </rPr>
      <t xml:space="preserve"> pour d'autres détails</t>
    </r>
  </si>
  <si>
    <t xml:space="preserve">   Étude de faisabilité</t>
  </si>
  <si>
    <r>
      <t xml:space="preserve">   Plan d'affaires </t>
    </r>
    <r>
      <rPr>
        <i/>
        <sz val="8"/>
        <rFont val="Arial"/>
        <family val="2"/>
      </rPr>
      <t>(pourrait être exigé)</t>
    </r>
  </si>
  <si>
    <r>
      <t>Attestation d'engagement à l'égalité à l'emploi</t>
    </r>
    <r>
      <rPr>
        <i/>
        <sz val="8"/>
        <rFont val="Arial"/>
        <family val="2"/>
      </rPr>
      <t xml:space="preserve"> (si plus de 100 employés)</t>
    </r>
  </si>
  <si>
    <t>Potentiel de réduction de la consommation d'énergie annuelle attribuable au projet (GJ/an)</t>
  </si>
  <si>
    <t>Description sommaire du requérant</t>
  </si>
  <si>
    <t>Nombre d'employés</t>
  </si>
  <si>
    <t>Entreprise*</t>
  </si>
  <si>
    <t>Adresse*</t>
  </si>
  <si>
    <t>Municipalité*</t>
  </si>
  <si>
    <t xml:space="preserve">  Code postal*</t>
  </si>
  <si>
    <t>Appel</t>
  </si>
  <si>
    <t>Nom</t>
  </si>
  <si>
    <t>Code appel</t>
  </si>
  <si>
    <t>Madame</t>
  </si>
  <si>
    <t>Monsieur</t>
  </si>
  <si>
    <t xml:space="preserve"> Prénom</t>
  </si>
  <si>
    <t xml:space="preserve"> Courriel</t>
  </si>
  <si>
    <t>NEQ*</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</si>
  <si>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</si>
  <si>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</si>
  <si>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</si>
  <si>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</si>
  <si>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</si>
  <si>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</si>
  <si>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</si>
  <si>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</si>
  <si>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</si>
  <si>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</si>
  <si>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</si>
  <si>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</si>
  <si>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</si>
  <si>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CoutNRJ</t>
  </si>
  <si>
    <t>40</t>
  </si>
  <si>
    <t>Municipal</t>
  </si>
  <si>
    <t>50</t>
  </si>
  <si>
    <t>Prêt</t>
  </si>
  <si>
    <t>Équité</t>
  </si>
  <si>
    <t>Description sommaire du projet</t>
  </si>
  <si>
    <t>Hydro-Québec</t>
  </si>
  <si>
    <t>Investissement Québec</t>
  </si>
  <si>
    <t>Banque/Caisse</t>
  </si>
  <si>
    <t>TDDC</t>
  </si>
  <si>
    <t>BDC</t>
  </si>
  <si>
    <t>CDE</t>
  </si>
  <si>
    <t>Autre…</t>
  </si>
  <si>
    <t>Potentiel énergétique et GES  (remplir l'onglet plan d'implantation si applicable)</t>
  </si>
  <si>
    <t>Interne</t>
  </si>
  <si>
    <t>Externe</t>
  </si>
  <si>
    <t xml:space="preserve">*Le signataire déclare qu'il est dûment autorisé à prendre des engagements au nom du requérant, qu'il a pris connaissance des exigences et conditions du programme pour lequel il demande une aide financière </t>
  </si>
  <si>
    <t>Signataire autorisé*</t>
  </si>
  <si>
    <r>
      <t xml:space="preserve">Durée d'engagement </t>
    </r>
    <r>
      <rPr>
        <sz val="7"/>
        <rFont val="Arial"/>
        <family val="2"/>
      </rPr>
      <t>(maximum 10 ans, volet 4 seulement)</t>
    </r>
  </si>
  <si>
    <t>NEQ</t>
  </si>
  <si>
    <t>OIQ</t>
  </si>
  <si>
    <t>OIFQ</t>
  </si>
  <si>
    <t>OAQ</t>
  </si>
  <si>
    <r>
      <t>N</t>
    </r>
    <r>
      <rPr>
        <vertAlign val="superscript"/>
        <sz val="8"/>
        <rFont val="Arial"/>
        <family val="2"/>
      </rPr>
      <t xml:space="preserve">o </t>
    </r>
  </si>
  <si>
    <t>Cellulaire</t>
  </si>
  <si>
    <t>MAPAQ</t>
  </si>
  <si>
    <t>MSSS</t>
  </si>
  <si>
    <t>MTQ</t>
  </si>
  <si>
    <t>Innovation</t>
  </si>
  <si>
    <t>Conversion</t>
  </si>
  <si>
    <t>Gestion</t>
  </si>
  <si>
    <t>Connaissances</t>
  </si>
  <si>
    <t>OPTER</t>
  </si>
  <si>
    <t>Certificat de francisation (si plus de 50 employés)</t>
  </si>
  <si>
    <t xml:space="preserve">Nº de l'entente : </t>
  </si>
  <si>
    <t xml:space="preserve"> Personne-ressource  :</t>
  </si>
  <si>
    <t>Référence</t>
  </si>
  <si>
    <t>Projet</t>
  </si>
  <si>
    <t xml:space="preserve">   Bilan de masse et d'énergie</t>
  </si>
  <si>
    <t>*</t>
  </si>
  <si>
    <t>* Consommation d'énergie thermique non électrique de plus de 36 TJ</t>
  </si>
  <si>
    <t>Nom site</t>
  </si>
  <si>
    <t>Consommation annuelle d'énergie du cas de référence</t>
  </si>
  <si>
    <t>Production</t>
  </si>
  <si>
    <t>Quantité</t>
  </si>
  <si>
    <t>Coût</t>
  </si>
  <si>
    <t>GJ</t>
  </si>
  <si>
    <t>GES (t)</t>
  </si>
  <si>
    <t>$/GJ</t>
  </si>
  <si>
    <t>GJ/production</t>
  </si>
  <si>
    <t>Consommation de référence</t>
  </si>
  <si>
    <t>Énergie</t>
  </si>
  <si>
    <t>Aide potentielle
(si applicable)</t>
  </si>
  <si>
    <t>Coûts
internes</t>
  </si>
  <si>
    <t>Coûts
externes</t>
  </si>
  <si>
    <t>Coûts
totaux</t>
  </si>
  <si>
    <t>Volet</t>
  </si>
  <si>
    <t>Composante</t>
  </si>
  <si>
    <t>PRP</t>
  </si>
  <si>
    <t>Aucun</t>
  </si>
  <si>
    <r>
      <t>Forme d'énergie ou PRP</t>
    </r>
    <r>
      <rPr>
        <vertAlign val="superscript"/>
        <sz val="7"/>
        <rFont val="Arial"/>
        <family val="2"/>
      </rPr>
      <t xml:space="preserve"> (2)</t>
    </r>
  </si>
  <si>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</si>
  <si>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</si>
  <si>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</si>
  <si>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</si>
  <si>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</si>
  <si>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</si>
  <si>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</si>
  <si>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</si>
  <si>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</si>
  <si>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</si>
  <si>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</si>
  <si>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</si>
  <si>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</si>
  <si>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</si>
  <si>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</si>
  <si>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</si>
  <si>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</si>
  <si>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</si>
  <si>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</si>
  <si>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</si>
  <si>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</si>
  <si>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</si>
  <si>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</si>
  <si>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</si>
  <si>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</si>
  <si>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</si>
  <si>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</si>
  <si>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</si>
  <si>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</si>
  <si>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</si>
  <si>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</si>
  <si>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</si>
  <si>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</si>
  <si>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</si>
  <si>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</si>
  <si>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</si>
  <si>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</si>
  <si>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</si>
  <si>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</si>
  <si>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</si>
  <si>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</si>
  <si>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</si>
  <si>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</si>
  <si>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</si>
  <si>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</si>
  <si>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</si>
  <si>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Solaires</t>
  </si>
  <si>
    <t>Anal_IP_Prelim</t>
  </si>
  <si>
    <t>Conv_Sol</t>
  </si>
  <si>
    <t>Analyses</t>
  </si>
  <si>
    <t>Implantations</t>
  </si>
  <si>
    <t>221</t>
  </si>
  <si>
    <t>222</t>
  </si>
  <si>
    <t>Étude IP préliminaire</t>
  </si>
  <si>
    <t>50.4</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</si>
  <si>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</si>
  <si>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</si>
  <si>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</si>
  <si>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</si>
  <si>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</si>
  <si>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</si>
  <si>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</si>
  <si>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</si>
  <si>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</si>
  <si>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</si>
  <si>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</si>
  <si>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</si>
  <si>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</si>
  <si>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</si>
  <si>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</si>
  <si>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</si>
  <si>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</si>
  <si>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</si>
  <si>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</si>
  <si>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</si>
  <si>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</si>
  <si>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</si>
  <si>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</si>
  <si>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</si>
  <si>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</si>
  <si>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</si>
  <si>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</si>
  <si>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</si>
  <si>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</si>
  <si>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</si>
  <si>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</si>
  <si>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</si>
  <si>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</si>
  <si>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</si>
  <si>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</si>
  <si>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</si>
  <si>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</si>
  <si>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</si>
  <si>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</si>
  <si>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</si>
  <si>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</si>
  <si>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</si>
  <si>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</si>
  <si>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</si>
  <si>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</si>
  <si>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</si>
  <si>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</si>
  <si>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C5H2F10</t>
  </si>
  <si>
    <t>C2HF5</t>
  </si>
  <si>
    <t>HFC-134</t>
  </si>
  <si>
    <t>CHF2CHF2</t>
  </si>
  <si>
    <t>HFC-134a</t>
  </si>
  <si>
    <t>CH2FCF3</t>
  </si>
  <si>
    <t>HFC-143</t>
  </si>
  <si>
    <t>C2H3F3</t>
  </si>
  <si>
    <t>HFC-143a</t>
  </si>
  <si>
    <t>HFC-152a</t>
  </si>
  <si>
    <t>C2H4F2</t>
  </si>
  <si>
    <t>HFC-227ea</t>
  </si>
  <si>
    <t>C3HF7</t>
  </si>
  <si>
    <t>HFC-236fa</t>
  </si>
  <si>
    <t>C3H2F6</t>
  </si>
  <si>
    <t>HFC-245ca</t>
  </si>
  <si>
    <t>C3H3F5</t>
  </si>
  <si>
    <t>CF4</t>
  </si>
  <si>
    <t>C2F6</t>
  </si>
  <si>
    <t>C3F8</t>
  </si>
  <si>
    <t>C4F10</t>
  </si>
  <si>
    <t>c-C4F8</t>
  </si>
  <si>
    <t>C5F12</t>
  </si>
  <si>
    <t>C6F14</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</si>
  <si>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</si>
  <si>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</si>
  <si>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</si>
  <si>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</si>
  <si>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</si>
  <si>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</si>
  <si>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</si>
  <si>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</si>
  <si>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</si>
  <si>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</si>
  <si>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</si>
  <si>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</si>
  <si>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</si>
  <si>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</si>
  <si>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</si>
  <si>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</si>
  <si>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</si>
  <si>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</si>
  <si>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</si>
  <si>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</si>
  <si>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</si>
  <si>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</si>
  <si>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</si>
  <si>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</si>
  <si>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</si>
  <si>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</si>
  <si>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</si>
  <si>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</si>
  <si>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</si>
  <si>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</si>
  <si>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</si>
  <si>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</si>
  <si>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</si>
  <si>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</si>
  <si>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</si>
  <si>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</si>
  <si>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</si>
  <si>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</si>
  <si>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</si>
  <si>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</si>
  <si>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</si>
  <si>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</si>
  <si>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</si>
  <si>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</si>
  <si>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</si>
  <si>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</si>
  <si>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</si>
  <si>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</si>
  <si>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</si>
  <si>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</si>
  <si>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</si>
  <si>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</si>
  <si>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</si>
  <si>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</si>
  <si>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</si>
  <si>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</si>
  <si>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</si>
  <si>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Étude</t>
  </si>
  <si>
    <t>Étude IP</t>
  </si>
  <si>
    <t>Bioénergies</t>
  </si>
  <si>
    <t>Écoconduite</t>
  </si>
  <si>
    <t>développement</t>
  </si>
  <si>
    <t>Agriculture</t>
  </si>
  <si>
    <t>Efficacité</t>
  </si>
  <si>
    <t>(1) Si, pour une même mesure, il y a des réductions ou des augmentations de la consommation énergétique ou que la mesure implique différentes  formes d'énergie, celles-ci doivent être présentées sur des lignes différentes.</t>
  </si>
  <si>
    <r>
      <t xml:space="preserve">Action </t>
    </r>
    <r>
      <rPr>
        <vertAlign val="superscript"/>
        <sz val="7"/>
        <rFont val="Arial"/>
        <family val="2"/>
      </rPr>
      <t>(7)</t>
    </r>
  </si>
  <si>
    <r>
      <t xml:space="preserve">(4) La </t>
    </r>
    <r>
      <rPr>
        <b/>
        <sz val="8"/>
        <rFont val="Arial"/>
        <family val="2"/>
      </rPr>
      <t xml:space="preserve">PRI </t>
    </r>
    <r>
      <rPr>
        <sz val="8"/>
        <rFont val="Arial"/>
        <family val="2"/>
      </rPr>
      <t xml:space="preserve">est définie comme étant le rapport : </t>
    </r>
  </si>
  <si>
    <t>Source de l'aide</t>
  </si>
  <si>
    <r>
      <t xml:space="preserve">PRI </t>
    </r>
    <r>
      <rPr>
        <vertAlign val="superscript"/>
        <sz val="7"/>
        <rFont val="Arial"/>
        <family val="2"/>
      </rPr>
      <t>(4)</t>
    </r>
  </si>
  <si>
    <r>
      <t>Engagement 
(maximum 10 ans)</t>
    </r>
    <r>
      <rPr>
        <vertAlign val="superscript"/>
        <sz val="7"/>
        <rFont val="Arial"/>
        <family val="2"/>
      </rPr>
      <t>(5)</t>
    </r>
  </si>
  <si>
    <r>
      <t xml:space="preserve">Recommandation </t>
    </r>
    <r>
      <rPr>
        <vertAlign val="superscript"/>
        <sz val="7"/>
        <rFont val="Arial"/>
        <family val="2"/>
      </rPr>
      <t>(6)</t>
    </r>
  </si>
  <si>
    <t xml:space="preserve">      I-Implanter</t>
  </si>
  <si>
    <t xml:space="preserve">     N-Ne rien faire</t>
  </si>
  <si>
    <t xml:space="preserve">     E-Étude supplémentaire requise</t>
  </si>
  <si>
    <t xml:space="preserve">     1- Implantée</t>
  </si>
  <si>
    <t xml:space="preserve">     2- En cours d'implantation</t>
  </si>
  <si>
    <t xml:space="preserve">     4- D'ici deux ans</t>
  </si>
  <si>
    <t xml:space="preserve">     5- Ne sera pas implantée</t>
  </si>
  <si>
    <t>Approvisionnement</t>
  </si>
  <si>
    <r>
      <t xml:space="preserve">    Voir le </t>
    </r>
    <r>
      <rPr>
        <i/>
        <sz val="8"/>
        <rFont val="Arial"/>
        <family val="2"/>
      </rPr>
      <t>Guide détaillé du requérant</t>
    </r>
    <r>
      <rPr>
        <sz val="8"/>
        <rFont val="Arial"/>
        <family val="2"/>
      </rPr>
      <t xml:space="preserve"> pour plus de détails</t>
    </r>
  </si>
  <si>
    <t xml:space="preserve">Date du plan :    </t>
  </si>
  <si>
    <t>Requérant</t>
  </si>
  <si>
    <t>ProjStratTrans</t>
  </si>
  <si>
    <t>511</t>
  </si>
  <si>
    <t>512</t>
  </si>
  <si>
    <t>513</t>
  </si>
  <si>
    <t>Formule_actuel</t>
  </si>
  <si>
    <t>Code_Refrig_Actuel</t>
  </si>
  <si>
    <t>Code_unite_Actuel</t>
  </si>
  <si>
    <t>Taux_Fuite</t>
  </si>
  <si>
    <t>Code_Refrig_Prevu</t>
  </si>
  <si>
    <t>Formule_prevu</t>
  </si>
  <si>
    <t>Code_unite_prevu</t>
  </si>
  <si>
    <t xml:space="preserve">   Procuration</t>
  </si>
  <si>
    <t>Contribution</t>
  </si>
  <si>
    <t>Subvention</t>
  </si>
  <si>
    <t>Commercial</t>
  </si>
  <si>
    <t>Institutionnel</t>
  </si>
  <si>
    <t>Transport</t>
  </si>
  <si>
    <t>Industriel</t>
  </si>
  <si>
    <t>Agricole</t>
  </si>
  <si>
    <t>Bioénergie</t>
  </si>
  <si>
    <t>Hydrolienne</t>
  </si>
  <si>
    <t>Solaire</t>
  </si>
  <si>
    <t>Essence</t>
  </si>
  <si>
    <t>(6) Recommandation</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</si>
  <si>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</si>
  <si>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</si>
  <si>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</si>
  <si>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</si>
  <si>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</si>
  <si>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</si>
  <si>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</si>
  <si>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</si>
  <si>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</si>
  <si>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</si>
  <si>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</si>
  <si>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</si>
  <si>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</si>
  <si>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</si>
  <si>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</si>
  <si>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</si>
  <si>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</si>
  <si>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</si>
  <si>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</si>
  <si>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</si>
  <si>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</si>
  <si>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</si>
  <si>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</si>
  <si>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</si>
  <si>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</si>
  <si>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</si>
  <si>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</si>
  <si>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</si>
  <si>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</si>
  <si>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</si>
  <si>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</si>
  <si>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</si>
  <si>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</si>
  <si>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</si>
  <si>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</si>
  <si>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</si>
  <si>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</si>
  <si>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</si>
  <si>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</si>
  <si>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</si>
  <si>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</si>
  <si>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</si>
  <si>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</si>
  <si>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</si>
  <si>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</si>
  <si>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</si>
  <si>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</si>
  <si>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</si>
  <si>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</si>
  <si>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</si>
  <si>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</si>
  <si>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</si>
  <si>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</si>
  <si>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</si>
  <si>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</si>
  <si>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</si>
  <si>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</si>
  <si>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</si>
  <si>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</si>
  <si>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</si>
  <si>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</si>
  <si>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</si>
  <si>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</si>
  <si>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</si>
  <si>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</si>
  <si>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</si>
  <si>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</si>
  <si>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</si>
  <si>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</si>
  <si>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</si>
  <si>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</si>
  <si>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</si>
  <si>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</si>
  <si>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</si>
  <si>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</si>
  <si>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</si>
  <si>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</si>
  <si>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</si>
  <si>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</si>
  <si>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</si>
  <si>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</si>
  <si>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</si>
  <si>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(7) Action</t>
  </si>
  <si>
    <t>(5) Pour le volet conversion seulement</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</si>
  <si>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</si>
  <si>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</si>
  <si>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</si>
  <si>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</si>
  <si>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</si>
  <si>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</si>
  <si>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</si>
  <si>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</si>
  <si>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</si>
  <si>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</si>
  <si>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</si>
  <si>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</si>
  <si>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</si>
  <si>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</si>
  <si>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</si>
  <si>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</si>
  <si>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</si>
  <si>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</si>
  <si>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</si>
  <si>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</si>
  <si>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</si>
  <si>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</si>
  <si>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</si>
  <si>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</si>
  <si>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</si>
  <si>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</si>
  <si>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</si>
  <si>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</si>
  <si>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</si>
  <si>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</si>
  <si>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</si>
  <si>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</si>
  <si>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</si>
  <si>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</si>
  <si>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</si>
  <si>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</si>
  <si>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</si>
  <si>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</si>
  <si>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</si>
  <si>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</si>
  <si>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</si>
  <si>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</si>
  <si>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</si>
  <si>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</si>
  <si>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</si>
  <si>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</si>
  <si>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</si>
  <si>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</si>
  <si>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</si>
  <si>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</si>
  <si>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</si>
  <si>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</si>
  <si>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</si>
  <si>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</si>
  <si>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</si>
  <si>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</si>
  <si>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</si>
  <si>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</si>
  <si>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</si>
  <si>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</si>
  <si>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</si>
  <si>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</si>
  <si>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</si>
  <si>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</si>
  <si>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</si>
  <si>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</si>
  <si>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</si>
  <si>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</si>
  <si>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</si>
  <si>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</si>
  <si>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</si>
  <si>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</si>
  <si>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</si>
  <si>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</si>
  <si>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</si>
  <si>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</si>
  <si>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</si>
  <si>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</si>
  <si>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</si>
  <si>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</si>
  <si>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</si>
  <si>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</si>
  <si>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</si>
  <si>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</si>
  <si>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</si>
  <si>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</si>
  <si>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Réfrigérant</t>
  </si>
  <si>
    <t>lbs</t>
  </si>
  <si>
    <t>ORGRDrec</t>
  </si>
  <si>
    <t>Taux de fuites</t>
  </si>
  <si>
    <t>AAAA/MM/JJ =&gt;</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</si>
  <si>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</si>
  <si>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</si>
  <si>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</si>
  <si>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</si>
  <si>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</si>
  <si>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</si>
  <si>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</si>
  <si>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</si>
  <si>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</si>
  <si>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</si>
  <si>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</si>
  <si>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</si>
  <si>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</si>
  <si>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</si>
  <si>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</si>
  <si>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</si>
  <si>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</si>
  <si>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</si>
  <si>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</si>
  <si>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</si>
  <si>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</si>
  <si>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</si>
  <si>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</si>
  <si>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</si>
  <si>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</si>
  <si>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</si>
  <si>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</si>
  <si>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</si>
  <si>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</si>
  <si>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</si>
  <si>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</si>
  <si>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</si>
  <si>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</si>
  <si>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</si>
  <si>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</si>
  <si>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</si>
  <si>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</si>
  <si>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</si>
  <si>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</si>
  <si>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</si>
  <si>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</si>
  <si>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</si>
  <si>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</si>
  <si>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</si>
  <si>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</si>
  <si>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</si>
  <si>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</si>
  <si>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</si>
  <si>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</si>
  <si>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</si>
  <si>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</si>
  <si>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</si>
  <si>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</si>
  <si>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</si>
  <si>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</si>
  <si>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</si>
  <si>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</si>
  <si>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</si>
  <si>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</si>
  <si>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</si>
  <si>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</si>
  <si>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</si>
  <si>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</si>
  <si>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</si>
  <si>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</si>
  <si>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</si>
  <si>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</si>
  <si>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</si>
  <si>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</si>
  <si>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</si>
  <si>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</si>
  <si>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</si>
  <si>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</si>
  <si>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</si>
  <si>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</si>
  <si>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</si>
  <si>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</si>
  <si>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</si>
  <si>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</si>
  <si>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</si>
  <si>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5</t>
  </si>
  <si>
    <t>51</t>
  </si>
  <si>
    <t>52</t>
  </si>
  <si>
    <t>6</t>
  </si>
  <si>
    <t>61</t>
  </si>
  <si>
    <t>62</t>
  </si>
  <si>
    <t>7</t>
  </si>
  <si>
    <t>71</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</si>
  <si>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</si>
  <si>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</si>
  <si>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</si>
  <si>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</si>
  <si>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</si>
  <si>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</si>
  <si>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</si>
  <si>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</si>
  <si>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</si>
  <si>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</si>
  <si>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</si>
  <si>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</si>
  <si>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</si>
  <si>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</si>
  <si>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</si>
  <si>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</si>
  <si>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</si>
  <si>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</si>
  <si>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</si>
  <si>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</si>
  <si>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</si>
  <si>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</si>
  <si>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</si>
  <si>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</si>
  <si>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</si>
  <si>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</si>
  <si>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</si>
  <si>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</si>
  <si>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</si>
  <si>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</si>
  <si>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</si>
  <si>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</si>
  <si>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</si>
  <si>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</si>
  <si>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</si>
  <si>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</si>
  <si>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</si>
  <si>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Tonne min</t>
  </si>
  <si>
    <t>Aide max</t>
  </si>
  <si>
    <t>Detail</t>
  </si>
  <si>
    <t>Type_aide</t>
  </si>
  <si>
    <t>Code_Org</t>
  </si>
  <si>
    <t>Code_FrmNRJ</t>
  </si>
  <si>
    <t>Coût Énergie</t>
  </si>
  <si>
    <t>36TJ</t>
  </si>
  <si>
    <t>der</t>
  </si>
  <si>
    <t>Tjatteint</t>
  </si>
  <si>
    <t>Code postal</t>
  </si>
  <si>
    <t>50.1</t>
  </si>
  <si>
    <t>50.2</t>
  </si>
  <si>
    <t>50.3</t>
  </si>
  <si>
    <t>CodeCAt</t>
  </si>
  <si>
    <t>Code_Req</t>
  </si>
  <si>
    <t>Code_Sign</t>
  </si>
  <si>
    <t>Code_Repadm</t>
  </si>
  <si>
    <t>Code_RepTech</t>
  </si>
  <si>
    <t>Code_Consultant</t>
  </si>
  <si>
    <t>NouveauExistant</t>
  </si>
  <si>
    <t>Aide combine max</t>
  </si>
  <si>
    <t>Dioxyde de carbone (R-744)</t>
  </si>
  <si>
    <t>HCFC-22 (R-22)</t>
  </si>
  <si>
    <t>CHClF2</t>
  </si>
  <si>
    <t>Changes in atmospheric constituents and in radiative forcing (table 2.14 100-yr TAR)</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</si>
  <si>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</si>
  <si>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</si>
  <si>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</si>
  <si>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</si>
  <si>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</si>
  <si>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</si>
  <si>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</si>
  <si>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</si>
  <si>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</si>
  <si>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</si>
  <si>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</si>
  <si>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</si>
  <si>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</si>
  <si>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</si>
  <si>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</si>
  <si>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</si>
  <si>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</si>
  <si>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</si>
  <si>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</si>
  <si>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</si>
  <si>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</si>
  <si>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</si>
  <si>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</si>
  <si>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</si>
  <si>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</si>
  <si>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</si>
  <si>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</si>
  <si>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C2H5F</t>
  </si>
  <si>
    <t>CHF 2CH 2CF 3</t>
  </si>
  <si>
    <t>C4H5F5</t>
  </si>
  <si>
    <t>Méthane (R-50)</t>
  </si>
  <si>
    <t>Méthylchloroforme</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</si>
  <si>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</si>
  <si>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</si>
  <si>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</si>
  <si>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</si>
  <si>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</si>
  <si>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Perfluorocyclobutane (PFC-318)</t>
  </si>
  <si>
    <t>Perfluoroéthane (PFC-116)</t>
  </si>
  <si>
    <t>Perfluorohexane (PFC5-1-14)</t>
  </si>
  <si>
    <t>Perfluorométhane (PFC-14)</t>
  </si>
  <si>
    <t>Privé (Industriel optimisation réfrigération)</t>
  </si>
  <si>
    <t>Perfluoropentane (PFC-4-1-12)</t>
  </si>
  <si>
    <t>Perfluoropropane (PFC-218)</t>
  </si>
  <si>
    <t>R-400</t>
  </si>
  <si>
    <t>0,5(CFC-12)+0,5(CFC-114)</t>
  </si>
  <si>
    <t>0,53(HCFC-22)+0,34(HCFC-124)+0,13(HFC-152a)</t>
  </si>
  <si>
    <t>0,61(HCFC-22)+0,28(HCFC-124)+0,11(HFC-152a)</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</si>
  <si>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</si>
  <si>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</si>
  <si>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0,6(HFC-125)+0,38(HCFC-22)+0,02(C3H8)</t>
  </si>
  <si>
    <t>0,38(HFC-125)+0,60(HCFC-22)+0,02(C3H8)</t>
  </si>
  <si>
    <t>0,05(C3H8)+0,75(HCFC-22)+0,2(C3F8)</t>
  </si>
  <si>
    <t>0,05(C3H8)+0,56(HCFC-22)+0,39(C3F8)</t>
  </si>
  <si>
    <t>0,45(22)+0,07(152a)+0,055(142b)+0,425(C318)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</si>
  <si>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</si>
  <si>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</si>
  <si>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</si>
  <si>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</si>
  <si>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</si>
  <si>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</si>
  <si>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</si>
  <si>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</si>
  <si>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</si>
  <si>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</si>
  <si>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</si>
  <si>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</si>
  <si>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</si>
  <si>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Caractéristique des systèmes de réfrigération</t>
  </si>
  <si>
    <t>Description sommaire des activités du site</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</si>
  <si>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</si>
  <si>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</si>
  <si>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0,03*(R-1270)+0,94(HFC-22)+,03(HFC-152a)</t>
  </si>
  <si>
    <t>0,7(HCFC-22)+0,05(PFC-218)+0,25(HCFC-142b)</t>
  </si>
  <si>
    <t>0,09(PFC-218)+0,88(HFC-134a)+0,03*(600a)</t>
  </si>
  <si>
    <t>Règlement sur la déclaration obligatoire de certaines émission de contaminants dans l'atmosphère, Loi sur la qualité de l'environnement, Q-2, a.2.2, 109.1 et 124.1 (note additionnelle: PRP du butane utilisé pour le PRP de l'isobutane)</t>
  </si>
  <si>
    <t>0,51(R-22)+0,285(HCFC-124)+,04*(600a)+0,165(142b)</t>
  </si>
  <si>
    <t>0,5(R-22)+0,39(HCFC-124)+,015*(600a)+0,095(142b)</t>
  </si>
  <si>
    <t>R-415A</t>
  </si>
  <si>
    <t>Émissions_fugitives</t>
  </si>
  <si>
    <t>Optimisation réfrigération</t>
  </si>
  <si>
    <t>Émissions Fugitives</t>
  </si>
  <si>
    <t>Autres procédés</t>
  </si>
  <si>
    <t>72</t>
  </si>
  <si>
    <t>Forintek avec valeur de la biomasse pour les émissions</t>
  </si>
  <si>
    <t>Écorces</t>
  </si>
  <si>
    <t>Biomasse résiduelle</t>
  </si>
  <si>
    <t>Fugitive</t>
  </si>
  <si>
    <t>m²</t>
  </si>
  <si>
    <t>pi²</t>
  </si>
  <si>
    <t>(Implantation seulement)</t>
  </si>
  <si>
    <t>Ammoniac (R-717)</t>
  </si>
  <si>
    <t>GJ/an</t>
  </si>
  <si>
    <t>GES (t/an)</t>
  </si>
  <si>
    <t>Teneur
Humidité
%</t>
  </si>
  <si>
    <t>TH</t>
  </si>
  <si>
    <t>Version:</t>
  </si>
  <si>
    <t>AidedemR</t>
  </si>
  <si>
    <t>Oui</t>
  </si>
  <si>
    <t>Non</t>
  </si>
  <si>
    <t>FO_ECOPERF_V1</t>
  </si>
  <si>
    <t>Gestion d'énergie</t>
  </si>
  <si>
    <t>Traditionnelles</t>
  </si>
  <si>
    <t>Énergies émergentes</t>
  </si>
  <si>
    <t>Technologies du Développement Durables Canada</t>
  </si>
  <si>
    <t>Banque de développement du Canada</t>
  </si>
  <si>
    <t>Centre de développement économique</t>
  </si>
  <si>
    <t>Gestion_d_énergie</t>
  </si>
  <si>
    <t>Eff_énergétique</t>
  </si>
  <si>
    <t>Accompagnement, audits, certification</t>
  </si>
  <si>
    <r>
      <t xml:space="preserve">   États financiers vérifiés</t>
    </r>
    <r>
      <rPr>
        <b/>
        <i/>
        <sz val="8"/>
        <rFont val="Arial"/>
        <family val="2"/>
      </rPr>
      <t xml:space="preserve"> des deux dernières années </t>
    </r>
    <r>
      <rPr>
        <i/>
        <sz val="8"/>
        <rFont val="Arial"/>
        <family val="2"/>
      </rPr>
      <t xml:space="preserve">(pourraient être exigés) </t>
    </r>
  </si>
  <si>
    <t>Unité prod.</t>
  </si>
  <si>
    <t>Emprunt</t>
  </si>
  <si>
    <t>Biocharbon</t>
  </si>
  <si>
    <t>Recom</t>
  </si>
  <si>
    <t>RecomC</t>
  </si>
  <si>
    <t xml:space="preserve">  Autres sites (si applicable)</t>
  </si>
  <si>
    <t>TEQ</t>
  </si>
  <si>
    <t>Transition énergétique Québec</t>
  </si>
  <si>
    <t>A-Organisme requérant</t>
  </si>
  <si>
    <t>B-Signataire autorisé</t>
  </si>
  <si>
    <t>C-Rep. administratif</t>
  </si>
  <si>
    <t>D-Rep. technique</t>
  </si>
  <si>
    <t>E-Consultant ext. autorisé</t>
  </si>
  <si>
    <t>D-Site</t>
  </si>
  <si>
    <t>E-Consommation d'énergie</t>
  </si>
  <si>
    <t>F-Système de réfrigération</t>
  </si>
  <si>
    <t>9</t>
  </si>
  <si>
    <t>Nbre</t>
  </si>
  <si>
    <t>Éco ($)</t>
  </si>
  <si>
    <t>Aide ($)</t>
  </si>
  <si>
    <t>Mesure</t>
  </si>
  <si>
    <t>Récupération de chaleur du système de réfrigération</t>
  </si>
  <si>
    <r>
      <t>Système de réfrigération au CO</t>
    </r>
    <r>
      <rPr>
        <vertAlign val="subscript"/>
        <sz val="10"/>
        <rFont val="Arial"/>
        <family val="2"/>
      </rPr>
      <t>2</t>
    </r>
  </si>
  <si>
    <t>Acériculture-Évaporateur électrique</t>
  </si>
  <si>
    <t>Acériculture-Évaporateur à biomasse</t>
  </si>
  <si>
    <t>Acériculture-Évaporateur aux granules</t>
  </si>
  <si>
    <t>Système Réfrigération au CO2</t>
  </si>
  <si>
    <t>A. Acquisition équipement/matériel</t>
  </si>
  <si>
    <t>B. Acquisition de l'équipement de mesurage</t>
  </si>
  <si>
    <t>C. Mesurage, quantification et vérification</t>
  </si>
  <si>
    <t>D. Ingénierie ou services professionnels</t>
  </si>
  <si>
    <t>E. Installation et mise en fonction</t>
  </si>
  <si>
    <t>F. Contingences</t>
  </si>
  <si>
    <t>91</t>
  </si>
  <si>
    <t>92</t>
  </si>
  <si>
    <t>PrescriptifC</t>
  </si>
  <si>
    <t>MT</t>
  </si>
  <si>
    <t>Rapport détaillé des coûts</t>
  </si>
  <si>
    <t>Ref</t>
  </si>
  <si>
    <t>Proj</t>
  </si>
  <si>
    <t>int</t>
  </si>
  <si>
    <t>ext</t>
  </si>
  <si>
    <t>tot</t>
  </si>
  <si>
    <t xml:space="preserve">Date du rapport : </t>
  </si>
  <si>
    <t>ESTIMATION DES COÛTS</t>
  </si>
  <si>
    <t xml:space="preserve">SUIVI DES COÛTS </t>
  </si>
  <si>
    <t>Nom du fournisseur</t>
  </si>
  <si>
    <t>Description des biens/services achetés</t>
  </si>
  <si>
    <t>N° d'imputation</t>
  </si>
  <si>
    <t>Scénario de référence Coûts estimés (si applicable)</t>
  </si>
  <si>
    <t xml:space="preserve">Coûts estimés Projet (A) </t>
  </si>
  <si>
    <t>Coûts additionnels</t>
  </si>
  <si>
    <t>Coûts réels (B)</t>
  </si>
  <si>
    <t>Bons de commande</t>
  </si>
  <si>
    <t>Facture</t>
  </si>
  <si>
    <t>Justification des écarts (B-A)</t>
  </si>
  <si>
    <t>Comptable</t>
  </si>
  <si>
    <t>N° de soumission
ou heures mo interne</t>
  </si>
  <si>
    <t>Externes</t>
  </si>
  <si>
    <t>Internes</t>
  </si>
  <si>
    <t>N°</t>
  </si>
  <si>
    <t xml:space="preserve">Date </t>
  </si>
  <si>
    <t>Coûts (A)</t>
  </si>
  <si>
    <t>N° facture</t>
  </si>
  <si>
    <t>Coûts (B)</t>
  </si>
  <si>
    <t>Sous-total</t>
  </si>
  <si>
    <t>TOTAL</t>
  </si>
  <si>
    <t>COÛTS ESTIMÉS RÉFÉRENCE</t>
  </si>
  <si>
    <t>COÛTS ESTIMÉS PROJET</t>
  </si>
  <si>
    <t>COÛTS RÉELS</t>
  </si>
  <si>
    <r>
      <t xml:space="preserve">TOTAL DES COÛTS DU PROJET </t>
    </r>
    <r>
      <rPr>
        <sz val="9"/>
        <rFont val="Arial"/>
        <family val="2"/>
      </rPr>
      <t>(</t>
    </r>
    <r>
      <rPr>
        <i/>
        <sz val="9"/>
        <rFont val="Arial"/>
        <family val="2"/>
      </rPr>
      <t>Reportez ce montant sur le formulaire</t>
    </r>
    <r>
      <rPr>
        <sz val="9"/>
        <rFont val="Arial"/>
        <family val="2"/>
      </rPr>
      <t>)</t>
    </r>
  </si>
  <si>
    <t>Le signataire s'engage à laisser la mesure en place et fonctionnelle pour une période minimale de 10 ans et déclare qu'il n'y a aucune aide provenant d'autres sources pour ce projet.</t>
  </si>
  <si>
    <t>Le projet consiste à remplacer un évaporateur d’eau d’érable fonctionnant au combustible fossile par un autre fonctionnant à l'électricité.</t>
  </si>
  <si>
    <t>Le projet consiste à remplacer un évaporateur d’eau d’érable fonctionnant au combustible fossile par un autre fonctionnant au bois.</t>
  </si>
  <si>
    <t>Le projet consiste à remplacer un évaporateur d’eau d’érable fonctionnant au combustible fossile par un autre fonctionnant au granules.</t>
  </si>
  <si>
    <t xml:space="preserve">  et qu'il reconnaît que les renseignements contenus dans ce formulaire sont exacts. L’installation sera faite par du personnel qualifié et sera conforme aux lois et règlements en vigueur.</t>
  </si>
  <si>
    <t>Minimum</t>
  </si>
  <si>
    <t>F-Projet</t>
  </si>
  <si>
    <t>G-Signature</t>
  </si>
  <si>
    <t>Volet Prescriptif (implantation simplifiée)</t>
  </si>
  <si>
    <t>P106</t>
  </si>
  <si>
    <t>AJ108</t>
  </si>
  <si>
    <t>(TEQ):Énergie utilisée pour le chauffage seulement.</t>
  </si>
  <si>
    <t>(TEQ):Combustible utilisé par l’évaporateur avant la conversion et qui sera éliminé.</t>
  </si>
  <si>
    <t>(TEQ):Surface totale du bâtiment.</t>
  </si>
  <si>
    <t>(TEQ):Production annuelle de sirop d’érable.</t>
  </si>
  <si>
    <t>V108</t>
  </si>
  <si>
    <r>
      <t xml:space="preserve">Documents obligatoires à fournir </t>
    </r>
    <r>
      <rPr>
        <sz val="8"/>
        <color indexed="9"/>
        <rFont val="Arial"/>
        <family val="2"/>
      </rPr>
      <t>(cochez ci-dessous)</t>
    </r>
  </si>
  <si>
    <t>Le projet consiste à remplacer un système de chauffage fonctionnant au combustible fossile par un autre fonctionnant à l'électricité.</t>
  </si>
  <si>
    <t>Le projet consiste à remplacer un système de chauffage fonctionnant au combustible fossile par un autre fonctionnant au bois.</t>
  </si>
  <si>
    <t>Le projet consiste à remplacer un système de chauffage fonctionnant au combustible fossile par un autre fonctionnant au granules.</t>
  </si>
  <si>
    <t>Conversion chauffage-CII- électrique</t>
  </si>
  <si>
    <t>Conversion chauffage-CII- biomasse</t>
  </si>
  <si>
    <t>Conversion chauffage-CII- granules</t>
  </si>
  <si>
    <t>Chaudière</t>
  </si>
  <si>
    <t>Fournaise</t>
  </si>
  <si>
    <t>Thermopompe</t>
  </si>
  <si>
    <t>(TEQ) Type de système de chauffage</t>
  </si>
  <si>
    <t>V105</t>
  </si>
  <si>
    <t>Consommation</t>
  </si>
  <si>
    <t>PCS</t>
  </si>
  <si>
    <t>Cout</t>
  </si>
  <si>
    <t>FC</t>
  </si>
  <si>
    <t>BI</t>
  </si>
  <si>
    <t>HorsPointeVisible</t>
  </si>
  <si>
    <t>Électrique</t>
  </si>
  <si>
    <t>Bio</t>
  </si>
  <si>
    <t>µ</t>
  </si>
  <si>
    <t>Cout Conversion</t>
  </si>
  <si>
    <t>Site</t>
  </si>
  <si>
    <t>Identification</t>
  </si>
  <si>
    <t>kW</t>
  </si>
  <si>
    <t>Serres-Conversion chauffage-CII- électrique</t>
  </si>
  <si>
    <t>Coût du projet si connu  ($) :</t>
  </si>
  <si>
    <t>Période, type de production et température moyenne anticipée</t>
  </si>
  <si>
    <t>Caractéristique des serres</t>
  </si>
  <si>
    <t>T (°C)</t>
  </si>
  <si>
    <t xml:space="preserve">     Chauffage minimal et en continu de la serre en dehors de la période de production - Inscrire « X » si applicable :</t>
  </si>
  <si>
    <t>99</t>
  </si>
  <si>
    <t>Énergie
remplacée</t>
  </si>
  <si>
    <t>Matériel de
recouvrement du toit</t>
  </si>
  <si>
    <t>Usage anticipé
de la chauffe électrique</t>
  </si>
  <si>
    <t>Début
AAAA/MM/JJ</t>
  </si>
  <si>
    <t>Fin
AAAA/MM/JJ</t>
  </si>
  <si>
    <t>Correspondant principal avec le MERN</t>
  </si>
  <si>
    <r>
      <t>Mazout léger n</t>
    </r>
    <r>
      <rPr>
        <vertAlign val="superscript"/>
        <sz val="10"/>
        <rFont val="Arial"/>
        <family val="2"/>
      </rPr>
      <t>o</t>
    </r>
    <r>
      <rPr>
        <sz val="10"/>
        <rFont val="Arial"/>
        <family val="0"/>
      </rPr>
      <t xml:space="preserve"> 2</t>
    </r>
  </si>
  <si>
    <r>
      <t>Mazout léger n</t>
    </r>
    <r>
      <rPr>
        <vertAlign val="superscript"/>
        <sz val="10"/>
        <color indexed="8"/>
        <rFont val="Arial"/>
        <family val="2"/>
      </rPr>
      <t>o</t>
    </r>
    <r>
      <rPr>
        <sz val="10"/>
        <color indexed="8"/>
        <rFont val="Arial"/>
        <family val="2"/>
      </rPr>
      <t xml:space="preserve"> 1</t>
    </r>
  </si>
  <si>
    <r>
      <t>Mazout léger n</t>
    </r>
    <r>
      <rPr>
        <vertAlign val="superscript"/>
        <sz val="10"/>
        <color indexed="8"/>
        <rFont val="Arial"/>
        <family val="2"/>
      </rPr>
      <t>o</t>
    </r>
    <r>
      <rPr>
        <sz val="10"/>
        <color indexed="8"/>
        <rFont val="Arial"/>
        <family val="2"/>
      </rPr>
      <t xml:space="preserve"> 2</t>
    </r>
  </si>
  <si>
    <r>
      <t>Mazout lourd (n</t>
    </r>
    <r>
      <rPr>
        <vertAlign val="superscript"/>
        <sz val="10"/>
        <color indexed="8"/>
        <rFont val="Arial"/>
        <family val="2"/>
      </rPr>
      <t>os</t>
    </r>
    <r>
      <rPr>
        <sz val="10"/>
        <color indexed="8"/>
        <rFont val="Arial"/>
        <family val="2"/>
      </rPr>
      <t xml:space="preserve"> 4, 5 et 6)</t>
    </r>
  </si>
  <si>
    <t>Localisation :</t>
  </si>
  <si>
    <t>(2021/01/19 - v.20220613)</t>
  </si>
  <si>
    <t>MERN</t>
  </si>
  <si>
    <t>Ministère de l'Énergie et des Ressources naturelles</t>
  </si>
  <si>
    <t>HQ</t>
  </si>
  <si>
    <t>Énergir</t>
  </si>
  <si>
    <t>Fédéral</t>
  </si>
  <si>
    <t>IQ</t>
  </si>
  <si>
    <t>Ministère de l'Agriculture, des Pêcheries et de l'Alimentation du Québec</t>
  </si>
  <si>
    <t>ME</t>
  </si>
  <si>
    <t>Ministère de l'Éducation</t>
  </si>
  <si>
    <t>MEI</t>
  </si>
  <si>
    <t>Ministère de l'Économie et de l'Innovation</t>
  </si>
  <si>
    <t>Ministére de la Santé et des Services Sociaux</t>
  </si>
  <si>
    <t>Ministère des Transports du Québec</t>
  </si>
  <si>
    <r>
      <t>Le projet consiste à utiliser la technologie du CO</t>
    </r>
    <r>
      <rPr>
        <vertAlign val="subscript"/>
        <sz val="9"/>
        <rFont val="Arial"/>
        <family val="2"/>
      </rPr>
      <t>2</t>
    </r>
    <r>
      <rPr>
        <sz val="9"/>
        <rFont val="Arial"/>
        <family val="2"/>
      </rPr>
      <t xml:space="preserve"> (R-744) à titre de réfrigérant à la place du R-134A qui possède un potentiel de réchauffement planétaire 1 300 fois plus grand que le CO</t>
    </r>
    <r>
      <rPr>
        <vertAlign val="subscript"/>
        <sz val="9"/>
        <rFont val="Arial"/>
        <family val="2"/>
      </rPr>
      <t>2</t>
    </r>
    <r>
      <rPr>
        <sz val="9"/>
        <rFont val="Arial"/>
        <family val="2"/>
      </rPr>
      <t>. L’utilisation du CO</t>
    </r>
    <r>
      <rPr>
        <vertAlign val="subscript"/>
        <sz val="9"/>
        <rFont val="Arial"/>
        <family val="2"/>
      </rPr>
      <t>2</t>
    </r>
    <r>
      <rPr>
        <sz val="9"/>
        <rFont val="Arial"/>
        <family val="2"/>
      </rPr>
      <t xml:space="preserve"> limitera l’impact de ces émissions fugitives sur l’effet de serre.
En plus, un minimum de 50 % de la chaleur provenant du système sera récupéré afin de chauffer les espaces ou produire de l’eau chaude domestique.</t>
    </r>
  </si>
  <si>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</si>
  <si>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</si>
  <si>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</si>
  <si>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</si>
  <si>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</si>
  <si>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r>
      <t xml:space="preserve">Date </t>
    </r>
    <r>
      <rPr>
        <sz val="8"/>
        <color indexed="8"/>
        <rFont val="Arial"/>
        <family val="2"/>
      </rPr>
      <t>(aaaa-mm-jj)</t>
    </r>
  </si>
  <si>
    <t>Échéancier</t>
  </si>
  <si>
    <t>Superficie projetée</t>
  </si>
  <si>
    <t>[Sélectionnez]</t>
  </si>
  <si>
    <t>Nouveau type de système de chauffage</t>
  </si>
  <si>
    <t>Type d'entreprise</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</si>
  <si>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</si>
  <si>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</si>
  <si>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</si>
  <si>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</si>
  <si>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Adresse courriel</t>
  </si>
  <si>
    <t>Nom de l'entreprise</t>
  </si>
  <si>
    <t>Prénom</t>
  </si>
  <si>
    <t>Correspondant principal avec le ministère</t>
  </si>
  <si>
    <r>
      <t xml:space="preserve">Date de la livraison </t>
    </r>
    <r>
      <rPr>
        <b/>
        <sz val="8"/>
        <color indexed="9"/>
        <rFont val="Arial"/>
        <family val="2"/>
      </rPr>
      <t>(aaaa-mm-jj)</t>
    </r>
  </si>
  <si>
    <t>Livraison</t>
  </si>
  <si>
    <r>
      <rPr>
        <b/>
        <sz val="10"/>
        <color indexed="10"/>
        <rFont val="Arial"/>
        <family val="2"/>
      </rPr>
      <t xml:space="preserve">Instruction : </t>
    </r>
    <r>
      <rPr>
        <sz val="10"/>
        <color indexed="8"/>
        <rFont val="Arial"/>
        <family val="2"/>
      </rPr>
      <t>Veuillez entrer toutes les factures de combustible liées au chauffage pour ce site et correspondant à la période de</t>
    </r>
    <r>
      <rPr>
        <sz val="10"/>
        <color indexed="8"/>
        <rFont val="Calibri"/>
        <family val="2"/>
      </rPr>
      <t> </t>
    </r>
    <r>
      <rPr>
        <sz val="10"/>
        <color indexed="8"/>
        <rFont val="Arial"/>
        <family val="2"/>
      </rPr>
      <t>consommation admissible (24 mois).</t>
    </r>
  </si>
  <si>
    <t>Type de combustible</t>
  </si>
  <si>
    <r>
      <t xml:space="preserve">Fin </t>
    </r>
    <r>
      <rPr>
        <sz val="8"/>
        <color indexed="8"/>
        <rFont val="Arial"/>
        <family val="2"/>
      </rPr>
      <t>(aaaa-mm-jj)</t>
    </r>
  </si>
  <si>
    <r>
      <t xml:space="preserve">Début </t>
    </r>
    <r>
      <rPr>
        <sz val="8"/>
        <color indexed="8"/>
        <rFont val="Arial"/>
        <family val="2"/>
      </rPr>
      <t>(aaaa-mm-jj)</t>
    </r>
  </si>
  <si>
    <r>
      <t xml:space="preserve">Période de consommation admissible </t>
    </r>
    <r>
      <rPr>
        <b/>
        <sz val="8"/>
        <color indexed="8"/>
        <rFont val="Arial"/>
        <family val="2"/>
      </rPr>
      <t>(24 mois)</t>
    </r>
  </si>
  <si>
    <r>
      <t xml:space="preserve">Date du dépôt de la demande </t>
    </r>
    <r>
      <rPr>
        <sz val="8"/>
        <rFont val="Arial"/>
        <family val="2"/>
      </rPr>
      <t>(aaaa-mm-jj)</t>
    </r>
  </si>
  <si>
    <t>Mazout léger n° 2</t>
  </si>
  <si>
    <t>Plinthe électrique/convecteur</t>
  </si>
  <si>
    <t>Conversion de chauffage – Électrique</t>
  </si>
  <si>
    <t>Conversion de chauffage – Biomasse</t>
  </si>
  <si>
    <t>Conversion de chauffage – Granules</t>
  </si>
  <si>
    <t>[Sélectionnez];Gouvernement; Privé (Agriculture); Privé (Commercial); Privé (Industriel); Santé; Éducation; Municipal; OSBL (Agriculture); OSBL (Institutionnel); OSBL (Commercial); OSBL (Industriel)</t>
  </si>
  <si>
    <t>›  Photos du système de chauffage existant au combustible fossile avec l’espace environnant</t>
  </si>
  <si>
    <t>›  Photos de chacun des réservoirs de combustible fossile avec l’espace environnant</t>
  </si>
  <si>
    <t>›  Photo(s) de la plaque signalétique du ou des système(s) de chauffage existant(s)</t>
  </si>
  <si>
    <r>
      <t xml:space="preserve">Coût unitaire </t>
    </r>
    <r>
      <rPr>
        <sz val="8"/>
        <color indexed="8"/>
        <rFont val="Arial"/>
        <family val="2"/>
      </rPr>
      <t>($/litre)</t>
    </r>
  </si>
  <si>
    <r>
      <t xml:space="preserve">Consommation annuelle </t>
    </r>
    <r>
      <rPr>
        <sz val="8"/>
        <color indexed="8"/>
        <rFont val="Arial"/>
        <family val="2"/>
      </rPr>
      <t>(litre)</t>
    </r>
  </si>
  <si>
    <t>Simulation</t>
  </si>
  <si>
    <t>B. Signataire autorisé</t>
  </si>
  <si>
    <t>C. Représentant administratif</t>
  </si>
  <si>
    <t xml:space="preserve">D. Site       </t>
  </si>
  <si>
    <t>E. Projet</t>
  </si>
  <si>
    <r>
      <t xml:space="preserve">Coût annuel </t>
    </r>
    <r>
      <rPr>
        <sz val="8"/>
        <color indexed="8"/>
        <rFont val="Arial"/>
        <family val="2"/>
      </rPr>
      <t>($)</t>
    </r>
  </si>
  <si>
    <r>
      <t xml:space="preserve">Date prévue de début de projet </t>
    </r>
    <r>
      <rPr>
        <sz val="8"/>
        <color indexed="8"/>
        <rFont val="Arial"/>
        <family val="2"/>
      </rPr>
      <t>(aaaa-mm-jj)</t>
    </r>
  </si>
  <si>
    <t>›  Rôle d'évaluation foncière du site concerné</t>
  </si>
  <si>
    <r>
      <t xml:space="preserve">Réduction des émissions de GES </t>
    </r>
    <r>
      <rPr>
        <sz val="8"/>
        <color indexed="8"/>
        <rFont val="Arial"/>
        <family val="2"/>
      </rPr>
      <t>(t/an)</t>
    </r>
  </si>
  <si>
    <r>
      <t xml:space="preserve">Aide </t>
    </r>
    <r>
      <rPr>
        <sz val="8"/>
        <color indexed="8"/>
        <rFont val="Arial"/>
        <family val="2"/>
      </rPr>
      <t>($)</t>
    </r>
  </si>
  <si>
    <t>Combustible à remplacer</t>
  </si>
  <si>
    <r>
      <t xml:space="preserve">Économies de combustible </t>
    </r>
    <r>
      <rPr>
        <sz val="8"/>
        <color indexed="8"/>
        <rFont val="Arial"/>
        <family val="2"/>
      </rPr>
      <t>(litre/an)</t>
    </r>
  </si>
  <si>
    <r>
      <t xml:space="preserve">Économies </t>
    </r>
    <r>
      <rPr>
        <sz val="8"/>
        <color indexed="8"/>
        <rFont val="Arial"/>
        <family val="2"/>
      </rPr>
      <t>($/an)</t>
    </r>
  </si>
  <si>
    <t>F. Résultats estimés</t>
  </si>
  <si>
    <r>
      <t xml:space="preserve">Nombre d'étages </t>
    </r>
    <r>
      <rPr>
        <sz val="8"/>
        <color indexed="8"/>
        <rFont val="Arial"/>
        <family val="2"/>
      </rPr>
      <t>(sous-sol exclu)</t>
    </r>
  </si>
  <si>
    <r>
      <t xml:space="preserve">Quantité 
</t>
    </r>
    <r>
      <rPr>
        <b/>
        <sz val="8"/>
        <color indexed="9"/>
        <rFont val="Arial"/>
        <family val="2"/>
      </rPr>
      <t>(litre)</t>
    </r>
  </si>
  <si>
    <r>
      <t xml:space="preserve">Commentaires 
</t>
    </r>
    <r>
      <rPr>
        <b/>
        <sz val="8"/>
        <color indexed="9"/>
        <rFont val="Arial"/>
        <family val="2"/>
      </rPr>
      <t>(facultatif)</t>
    </r>
  </si>
  <si>
    <t>G. Déclaration du signataire autorisé</t>
  </si>
  <si>
    <t>H- Documents obligatoires à fournir</t>
  </si>
  <si>
    <r>
      <rPr>
        <b/>
        <sz val="10"/>
        <color indexed="10"/>
        <rFont val="Arial"/>
        <family val="2"/>
      </rPr>
      <t>Important :</t>
    </r>
    <r>
      <rPr>
        <sz val="10"/>
        <color indexed="12"/>
        <rFont val="Arial"/>
        <family val="2"/>
      </rPr>
      <t xml:space="preserve"> </t>
    </r>
    <r>
      <rPr>
        <sz val="10"/>
        <rFont val="Arial"/>
        <family val="2"/>
      </rPr>
      <t>Veuillez remplir l'onglet </t>
    </r>
    <r>
      <rPr>
        <b/>
        <sz val="10"/>
        <rFont val="Arial"/>
        <family val="2"/>
      </rPr>
      <t>Consommation actuelle</t>
    </r>
    <r>
      <rPr>
        <sz val="10"/>
        <rFont val="Arial"/>
        <family val="2"/>
      </rPr>
      <t>.</t>
    </r>
  </si>
  <si>
    <r>
      <t>Je m'engage à laisser la mesure en place et fonctionnelle pour une période minimale de 10 ans et je déclare
qu'il</t>
    </r>
    <r>
      <rPr>
        <sz val="10"/>
        <color indexed="8"/>
        <rFont val="Calibri"/>
        <family val="2"/>
      </rPr>
      <t> </t>
    </r>
    <r>
      <rPr>
        <sz val="10"/>
        <color indexed="8"/>
        <rFont val="Arial"/>
        <family val="2"/>
      </rPr>
      <t>n'y a aucune aide provenant d'autres sources pour ce projet.</t>
    </r>
  </si>
  <si>
    <r>
      <t xml:space="preserve">›  Procuration si le signataire autorisé n'est pas au Registraire des entreprises du Québec </t>
    </r>
    <r>
      <rPr>
        <sz val="8"/>
        <color indexed="8"/>
        <rFont val="Arial"/>
        <family val="2"/>
      </rPr>
      <t>(REQ)</t>
    </r>
  </si>
  <si>
    <r>
      <t xml:space="preserve">›  Factures de combustible pour les 24 mois précédant la demande d'aide </t>
    </r>
    <r>
      <rPr>
        <sz val="8"/>
        <color indexed="8"/>
        <rFont val="Arial"/>
        <family val="2"/>
      </rPr>
      <t>(période de consommation admissible)</t>
    </r>
  </si>
  <si>
    <r>
      <t xml:space="preserve">›  Facture d'électricité complète la plus récente </t>
    </r>
    <r>
      <rPr>
        <sz val="8"/>
        <color indexed="8"/>
        <rFont val="Arial"/>
        <family val="2"/>
      </rPr>
      <t>(toutes les pages)</t>
    </r>
    <r>
      <rPr>
        <sz val="10"/>
        <color indexed="8"/>
        <rFont val="Arial"/>
        <family val="2"/>
      </rPr>
      <t xml:space="preserve">, incluant le sommaire annuel </t>
    </r>
    <r>
      <rPr>
        <sz val="8"/>
        <color indexed="8"/>
        <rFont val="Arial"/>
        <family val="2"/>
      </rPr>
      <t>(12 mois)</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</si>
  <si>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t>
    </r>
    <r>
      <rPr>
        <sz val="10"/>
        <color indexed="8"/>
        <rFont val="Arial"/>
        <family val="2"/>
      </rPr>
      <t>les tableurs n'ayant pas été développés par Microsoft Office pourraient ne pas supporter le présent fichier.</t>
    </r>
  </si>
  <si>
    <r>
      <t xml:space="preserve">›  Formulaire rempli et daté, avec les cases de la section </t>
    </r>
    <r>
      <rPr>
        <b/>
        <sz val="10"/>
        <color indexed="8"/>
        <rFont val="Arial"/>
        <family val="2"/>
      </rPr>
      <t>G</t>
    </r>
    <r>
      <rPr>
        <sz val="10"/>
        <color indexed="8"/>
        <rFont val="Arial"/>
        <family val="2"/>
      </rPr>
      <t xml:space="preserve"> cochées, au format Excel</t>
    </r>
  </si>
  <si>
    <r>
      <t>Je déclare qu'</t>
    </r>
    <r>
      <rPr>
        <sz val="10"/>
        <color indexed="10"/>
        <rFont val="Arial"/>
        <family val="2"/>
      </rPr>
      <t>aucune facture n'a été émise pour ce projet plus de 30 jours</t>
    </r>
    <r>
      <rPr>
        <sz val="10"/>
        <color indexed="8"/>
        <rFont val="Arial"/>
        <family val="2"/>
      </rPr>
      <t xml:space="preserve"> avant
la transmission de cette demande.</t>
    </r>
  </si>
  <si>
    <t>1. Si Microsoft bloque l’exécution des macros (bandeau rouge au haut de la page)</t>
  </si>
  <si>
    <r>
      <rPr>
        <b/>
        <sz val="10"/>
        <color indexed="8"/>
        <rFont val="Arial"/>
        <family val="2"/>
      </rPr>
      <t xml:space="preserve">Note : </t>
    </r>
    <r>
      <rPr>
        <sz val="10"/>
        <color indexed="8"/>
        <rFont val="Arial"/>
        <family val="2"/>
      </rPr>
      <t xml:space="preserve">Il est possible de remplir le formulaire </t>
    </r>
    <r>
      <rPr>
        <u val="single"/>
        <sz val="10"/>
        <color indexed="8"/>
        <rFont val="Arial"/>
        <family val="2"/>
      </rPr>
      <t>sans activer les macros</t>
    </r>
    <r>
      <rPr>
        <sz val="10"/>
        <color indexed="8"/>
        <rFont val="Arial"/>
        <family val="2"/>
      </rPr>
      <t xml:space="preserve">. Seuls les boutons </t>
    </r>
    <r>
      <rPr>
        <b/>
        <sz val="10"/>
        <color indexed="8"/>
        <rFont val="Arial"/>
        <family val="2"/>
      </rPr>
      <t>Même que [...]</t>
    </r>
    <r>
      <rPr>
        <sz val="10"/>
        <color indexed="8"/>
        <rFont val="Arial"/>
        <family val="2"/>
      </rPr>
      <t>,</t>
    </r>
    <r>
      <rPr>
        <sz val="10"/>
        <color indexed="8"/>
        <rFont val="Arial"/>
        <family val="2"/>
      </rPr>
      <t xml:space="preserve"> permettant de dupliquer certaines informations d'une section à l'autre, ne fonctionneront pas. Il vous faudra alors remplir tous les champs manuellement. </t>
    </r>
    <r>
      <rPr>
        <b/>
        <sz val="10"/>
        <color indexed="8"/>
        <rFont val="Arial"/>
        <family val="2"/>
      </rPr>
      <t>Si vous désirez activer les macros, vous devez :</t>
    </r>
  </si>
  <si>
    <r>
      <t xml:space="preserve">›  fermer le fichier et cliquer sur ce dernier avec le bouton droit de votre souris, puis, sélectionner </t>
    </r>
    <r>
      <rPr>
        <b/>
        <sz val="10"/>
        <color indexed="8"/>
        <rFont val="Arial"/>
        <family val="2"/>
      </rPr>
      <t>Propriétés</t>
    </r>
    <r>
      <rPr>
        <sz val="10"/>
        <color indexed="8"/>
        <rFont val="Arial"/>
        <family val="2"/>
      </rPr>
      <t>;</t>
    </r>
  </si>
  <si>
    <r>
      <t xml:space="preserve">›  cocher la case </t>
    </r>
    <r>
      <rPr>
        <b/>
        <sz val="10"/>
        <color indexed="8"/>
        <rFont val="Arial"/>
        <family val="2"/>
      </rPr>
      <t>Débloquer</t>
    </r>
    <r>
      <rPr>
        <sz val="10"/>
        <color indexed="8"/>
        <rFont val="Arial"/>
        <family val="2"/>
      </rPr>
      <t xml:space="preserve"> à la sous-section </t>
    </r>
    <r>
      <rPr>
        <b/>
        <sz val="10"/>
        <color indexed="8"/>
        <rFont val="Arial"/>
        <family val="2"/>
      </rPr>
      <t>Sécurité</t>
    </r>
    <r>
      <rPr>
        <sz val="10"/>
        <color indexed="8"/>
        <rFont val="Arial"/>
        <family val="2"/>
      </rPr>
      <t xml:space="preserve"> et cliquer sur </t>
    </r>
    <r>
      <rPr>
        <b/>
        <sz val="10"/>
        <color indexed="8"/>
        <rFont val="Arial"/>
        <family val="2"/>
      </rPr>
      <t>Appliquer</t>
    </r>
    <r>
      <rPr>
        <sz val="10"/>
        <color indexed="8"/>
        <rFont val="Arial"/>
        <family val="2"/>
      </rPr>
      <t>;</t>
    </r>
  </si>
  <si>
    <t>›  ouvrir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</si>
  <si>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</si>
  <si>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</si>
  <si>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</si>
  <si>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</si>
  <si>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</si>
  <si>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</si>
  <si>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</si>
  <si>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</si>
  <si>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</si>
  <si>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t xml:space="preserve">Important : </t>
    </r>
    <r>
      <rPr>
        <sz val="10"/>
        <rFont val="Arial"/>
        <family val="2"/>
      </rPr>
      <t xml:space="preserve">Veuillez lire l'onglet </t>
    </r>
    <r>
      <rPr>
        <b/>
        <u val="single"/>
        <sz val="10"/>
        <rFont val="Arial"/>
        <family val="2"/>
      </rPr>
      <t>Instructions</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</si>
</sst>
</file>

<file path=xl/styles.xml><?xml version="1.0" encoding="utf-8"?>
<styleSheet xmlns="http://schemas.openxmlformats.org/spreadsheetml/2006/main">
  <numFmts count="5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0.0_);\(#,##0.0\)"/>
    <numFmt numFmtId="199" formatCode="[$€-2]\ #,##0.00_);[Red]\([$€-2]\ #,##0.00\)"/>
    <numFmt numFmtId="200" formatCode="_ * #,##0.0_)_ ;_ * \(#,##0.0\)_ ;_ * &quot;-&quot;??_)_ ;_ @_ "/>
    <numFmt numFmtId="201" formatCode="0.0"/>
    <numFmt numFmtId="202" formatCode="_ * #,##0.0000_)\ &quot;$&quot;_ ;_ * \(#,##0.0000\)\ &quot;$&quot;_ ;_ * &quot;-&quot;??_)\ &quot;$&quot;_ ;_ @_ "/>
    <numFmt numFmtId="203" formatCode="0.0000"/>
    <numFmt numFmtId="204" formatCode="0.00000"/>
    <numFmt numFmtId="205" formatCode="0.000000000"/>
    <numFmt numFmtId="206" formatCode="#,##0.000000\ &quot;$&quot;"/>
    <numFmt numFmtId="207" formatCode="#,##0.000"/>
  </numFmts>
  <fonts count="118">
    <font>
      <sz val="10"/>
      <name val="Arial"/>
      <family val="0"/>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7"/>
      <name val="Arial"/>
      <family val="2"/>
    </font>
    <font>
      <sz val="7"/>
      <name val="Arial"/>
      <family val="2"/>
    </font>
    <font>
      <vertAlign val="superscrip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i/>
      <sz val="10"/>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sz val="10"/>
      <color indexed="9"/>
      <name val="Arial"/>
      <family val="2"/>
    </font>
    <font>
      <i/>
      <sz val="9"/>
      <name val="Verdana"/>
      <family val="2"/>
    </font>
    <font>
      <sz val="8"/>
      <name val="Verdana"/>
      <family val="2"/>
    </font>
    <font>
      <sz val="16"/>
      <name val="Chaloult_Cond_Demi_Gras"/>
      <family val="0"/>
    </font>
    <font>
      <vertAlign val="subscript"/>
      <sz val="10"/>
      <name val="Arial"/>
      <family val="2"/>
    </font>
    <font>
      <sz val="11"/>
      <name val="Calibri"/>
      <family val="2"/>
    </font>
    <font>
      <b/>
      <sz val="18"/>
      <name val="Arial"/>
      <family val="2"/>
    </font>
    <font>
      <b/>
      <sz val="10"/>
      <name val="Arial"/>
      <family val="2"/>
    </font>
    <font>
      <i/>
      <sz val="9"/>
      <name val="Arial"/>
      <family val="2"/>
    </font>
    <font>
      <vertAlign val="subscript"/>
      <sz val="9"/>
      <name val="Arial"/>
      <family val="2"/>
    </font>
    <font>
      <sz val="11"/>
      <name val="Arial"/>
      <family val="2"/>
    </font>
    <font>
      <b/>
      <sz val="8"/>
      <color indexed="8"/>
      <name val="Arial"/>
      <family val="2"/>
    </font>
    <font>
      <vertAlign val="superscript"/>
      <sz val="10"/>
      <name val="Arial"/>
      <family val="2"/>
    </font>
    <font>
      <vertAlign val="superscript"/>
      <sz val="10"/>
      <color indexed="8"/>
      <name val="Arial"/>
      <family val="2"/>
    </font>
    <font>
      <b/>
      <sz val="10"/>
      <color indexed="8"/>
      <name val="Arial"/>
      <family val="2"/>
    </font>
    <font>
      <b/>
      <sz val="8"/>
      <color indexed="9"/>
      <name val="Arial"/>
      <family val="2"/>
    </font>
    <font>
      <sz val="10"/>
      <color indexed="8"/>
      <name val="Calibri"/>
      <family val="2"/>
    </font>
    <font>
      <b/>
      <sz val="10"/>
      <color indexed="10"/>
      <name val="Arial"/>
      <family val="2"/>
    </font>
    <font>
      <b/>
      <u val="single"/>
      <sz val="10"/>
      <name val="Arial"/>
      <family val="2"/>
    </font>
    <font>
      <sz val="10"/>
      <name val="Calibri"/>
      <family val="2"/>
    </font>
    <font>
      <sz val="10"/>
      <color indexed="12"/>
      <name val="Arial"/>
      <family val="2"/>
    </font>
    <font>
      <sz val="10"/>
      <color indexed="10"/>
      <name val="Arial"/>
      <family val="2"/>
    </font>
    <font>
      <u val="single"/>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7"/>
      <color indexed="9"/>
      <name val="Arial"/>
      <family val="2"/>
    </font>
    <font>
      <sz val="11"/>
      <color indexed="9"/>
      <name val="Arial"/>
      <family val="2"/>
    </font>
    <font>
      <b/>
      <sz val="16.5"/>
      <color indexed="9"/>
      <name val="Arial"/>
      <family val="0"/>
    </font>
    <font>
      <b/>
      <sz val="14"/>
      <color indexed="9"/>
      <name val="Arial Narrow"/>
      <family val="0"/>
    </font>
    <font>
      <b/>
      <sz val="12"/>
      <color indexed="8"/>
      <name val="Arial"/>
      <family val="0"/>
    </font>
    <font>
      <i/>
      <sz val="8"/>
      <color indexed="8"/>
      <name val="Arial"/>
      <family val="0"/>
    </font>
    <font>
      <sz val="9"/>
      <color indexed="8"/>
      <name val="Arial"/>
      <family val="0"/>
    </font>
    <font>
      <sz val="7"/>
      <color indexed="8"/>
      <name val="Arial"/>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sz val="9"/>
      <color theme="0"/>
      <name val="Arial"/>
      <family val="2"/>
    </font>
    <font>
      <sz val="8"/>
      <color theme="0"/>
      <name val="Arial"/>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0"/>
      <color rgb="FFFF0000"/>
      <name val="Arial"/>
      <family val="2"/>
    </font>
    <font>
      <b/>
      <sz val="7"/>
      <color theme="0"/>
      <name val="Arial"/>
      <family val="2"/>
    </font>
    <font>
      <sz val="11"/>
      <color theme="0"/>
      <name val="Arial"/>
      <family val="2"/>
    </font>
    <font>
      <b/>
      <sz val="8"/>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
      <patternFill patternType="solid">
        <fgColor rgb="FFFFC000"/>
        <bgColor indexed="64"/>
      </patternFill>
    </fill>
    <fill>
      <patternFill patternType="solid">
        <fgColor rgb="FF1C829A"/>
        <bgColor indexed="64"/>
      </patternFill>
    </fill>
    <fill>
      <patternFill patternType="solid">
        <fgColor rgb="FFEDF0F3"/>
        <bgColor indexed="64"/>
      </patternFill>
    </fill>
    <fill>
      <patternFill patternType="solid">
        <fgColor rgb="FFFFDDDD"/>
        <bgColor indexed="64"/>
      </patternFill>
    </fill>
    <fill>
      <patternFill patternType="solid">
        <fgColor rgb="FFD2DADC"/>
        <bgColor indexed="64"/>
      </patternFill>
    </fill>
    <fill>
      <patternFill patternType="solid">
        <fgColor theme="0" tint="-0.24993999302387238"/>
        <bgColor indexed="64"/>
      </patternFill>
    </fill>
    <fill>
      <patternFill patternType="solid">
        <fgColor rgb="FFF7941D"/>
        <bgColor indexed="64"/>
      </patternFill>
    </fill>
    <fill>
      <patternFill patternType="solid">
        <fgColor theme="0" tint="-0.24997000396251678"/>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style="medium"/>
      <right style="thin"/>
      <top style="thin"/>
      <bottom>
        <color indexed="63"/>
      </bottom>
    </border>
    <border>
      <left style="thin"/>
      <right>
        <color indexed="63"/>
      </right>
      <top style="thin"/>
      <bottom>
        <color indexed="63"/>
      </bottom>
    </border>
    <border>
      <left style="thin"/>
      <right style="double"/>
      <top style="thin"/>
      <bottom>
        <color indexed="63"/>
      </bottom>
    </border>
    <border>
      <left>
        <color indexed="63"/>
      </left>
      <right style="thin"/>
      <top style="thin"/>
      <bottom>
        <color indexed="63"/>
      </bottom>
    </border>
    <border>
      <left style="double"/>
      <right style="thin"/>
      <top style="thin"/>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style="double"/>
      <right style="thin"/>
      <top>
        <color indexed="63"/>
      </top>
      <bottom style="thin"/>
    </border>
    <border>
      <left>
        <color indexed="63"/>
      </left>
      <right style="medium"/>
      <top style="thin"/>
      <bottom>
        <color indexed="63"/>
      </bottom>
    </border>
    <border>
      <left style="double"/>
      <right style="thin"/>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style="double"/>
      <right>
        <color indexed="63"/>
      </right>
      <top style="double"/>
      <bottom>
        <color indexed="63"/>
      </bottom>
    </border>
    <border>
      <left>
        <color indexed="63"/>
      </left>
      <right style="double"/>
      <top style="double"/>
      <bottom style="thin"/>
    </border>
    <border>
      <left style="double"/>
      <right>
        <color indexed="63"/>
      </right>
      <top>
        <color indexed="63"/>
      </top>
      <bottom>
        <color indexed="63"/>
      </bottom>
    </border>
    <border>
      <left>
        <color indexed="63"/>
      </left>
      <right style="double"/>
      <top style="thin"/>
      <bottom style="medium"/>
    </border>
    <border>
      <left style="double"/>
      <right>
        <color indexed="63"/>
      </right>
      <top>
        <color indexed="63"/>
      </top>
      <bottom style="medium"/>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color indexed="63"/>
      </left>
      <right style="thin">
        <color rgb="FF1C829A"/>
      </right>
      <top style="thin">
        <color rgb="FF1C829A"/>
      </top>
      <bottom>
        <color indexed="63"/>
      </bottom>
    </border>
    <border>
      <left>
        <color indexed="63"/>
      </left>
      <right>
        <color indexed="63"/>
      </right>
      <top style="thin">
        <color rgb="FF1C829A"/>
      </top>
      <bottom>
        <color indexed="63"/>
      </bottom>
    </border>
    <border>
      <left style="thin">
        <color rgb="FF1C829A"/>
      </left>
      <right>
        <color indexed="63"/>
      </right>
      <top style="thin">
        <color rgb="FF1C829A"/>
      </top>
      <bottom>
        <color indexed="63"/>
      </bottom>
    </border>
    <border>
      <left style="thin">
        <color rgb="FF1C829A"/>
      </left>
      <right style="thin">
        <color rgb="FF1C829A"/>
      </right>
      <top>
        <color indexed="63"/>
      </top>
      <bottom style="thin">
        <color rgb="FF1C829A"/>
      </bottom>
    </border>
    <border>
      <left style="thin">
        <color rgb="FF1C829A"/>
      </left>
      <right style="thin">
        <color rgb="FF1C829A"/>
      </right>
      <top style="thin">
        <color rgb="FF1C829A"/>
      </top>
      <bottom>
        <color indexed="63"/>
      </bottom>
    </border>
    <border>
      <left style="thin">
        <color rgb="FF1C829A"/>
      </left>
      <right style="thin">
        <color rgb="FF1C829A"/>
      </right>
      <top style="thin">
        <color rgb="FF1C829A"/>
      </top>
      <bottom style="thin">
        <color rgb="FF1C829A"/>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rgb="FF1C829A"/>
      </bottom>
    </border>
    <border>
      <left>
        <color indexed="63"/>
      </left>
      <right style="thin">
        <color rgb="FF1C829A"/>
      </right>
      <top>
        <color indexed="63"/>
      </top>
      <bottom style="thin">
        <color rgb="FF1C829A"/>
      </bottom>
    </border>
    <border>
      <left>
        <color indexed="63"/>
      </left>
      <right style="thin">
        <color rgb="FF1C829A"/>
      </right>
      <top>
        <color indexed="63"/>
      </top>
      <bottom>
        <color indexed="63"/>
      </bottom>
    </border>
    <border>
      <left style="thin">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color indexed="63"/>
      </top>
      <bottom>
        <color indexed="63"/>
      </bottom>
    </border>
    <border>
      <left style="thin">
        <color rgb="FF1C829A"/>
      </left>
      <right>
        <color indexed="63"/>
      </right>
      <top>
        <color indexed="63"/>
      </top>
      <bottom style="thin">
        <color rgb="FF1C829A"/>
      </bottom>
    </border>
    <border>
      <left style="medium">
        <color rgb="FF1C829A"/>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color rgb="FF1C829A"/>
      </left>
      <right>
        <color indexed="63"/>
      </right>
      <top style="thin">
        <color rgb="FF1C829A"/>
      </top>
      <bottom>
        <color indexed="63"/>
      </bottom>
    </border>
    <border>
      <left>
        <color indexed="63"/>
      </left>
      <right style="medium">
        <color rgb="FF1C829A"/>
      </right>
      <top style="thin">
        <color rgb="FF1C829A"/>
      </top>
      <bottom>
        <color indexed="63"/>
      </bottom>
    </border>
    <border>
      <left style="double">
        <color rgb="FF1C829A"/>
      </left>
      <right style="thin">
        <color rgb="FF1C829A"/>
      </right>
      <top>
        <color indexed="63"/>
      </top>
      <bottom style="thin">
        <color rgb="FF1C829A"/>
      </bottom>
    </border>
    <border>
      <left style="double">
        <color rgb="FF1C829A"/>
      </left>
      <right style="thin">
        <color rgb="FF1C829A"/>
      </right>
      <top style="double">
        <color rgb="FF1C829A"/>
      </top>
      <bottom>
        <color indexed="63"/>
      </bottom>
    </border>
    <border>
      <left style="thin">
        <color rgb="FF1C829A"/>
      </left>
      <right style="thin">
        <color rgb="FF1C829A"/>
      </right>
      <top style="double">
        <color rgb="FF1C829A"/>
      </top>
      <bottom>
        <color indexed="63"/>
      </bottom>
    </border>
    <border>
      <left style="thin">
        <color rgb="FF1C829A"/>
      </left>
      <right>
        <color indexed="63"/>
      </right>
      <top style="thin">
        <color rgb="FF1C829A"/>
      </top>
      <bottom style="double">
        <color rgb="FF1C829A"/>
      </bottom>
    </border>
    <border>
      <left>
        <color indexed="63"/>
      </left>
      <right>
        <color indexed="63"/>
      </right>
      <top style="thin">
        <color rgb="FF1C829A"/>
      </top>
      <bottom style="double">
        <color rgb="FF1C829A"/>
      </bottom>
    </border>
    <border>
      <left>
        <color indexed="63"/>
      </left>
      <right style="thin">
        <color rgb="FF1C829A"/>
      </right>
      <top style="thin">
        <color rgb="FF1C829A"/>
      </top>
      <bottom style="double">
        <color rgb="FF1C829A"/>
      </bottom>
    </border>
    <border>
      <left style="medium"/>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medium"/>
      <bottom>
        <color indexed="63"/>
      </bottom>
    </border>
    <border>
      <left>
        <color indexed="63"/>
      </left>
      <right style="double"/>
      <top style="medium"/>
      <bottom style="medium"/>
    </border>
    <border>
      <left>
        <color indexed="63"/>
      </left>
      <right style="double"/>
      <top style="double"/>
      <bottom>
        <color indexed="63"/>
      </bottom>
    </border>
    <border>
      <left style="double"/>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double"/>
      <bottom style="double"/>
    </border>
    <border>
      <left style="thin"/>
      <right>
        <color indexed="63"/>
      </right>
      <top style="double"/>
      <bottom style="thin"/>
    </border>
    <border>
      <left>
        <color indexed="63"/>
      </left>
      <right style="thin"/>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0" borderId="2" applyNumberFormat="0" applyFill="0" applyAlignment="0" applyProtection="0"/>
    <xf numFmtId="0" fontId="91" fillId="27" borderId="1" applyNumberFormat="0" applyAlignment="0" applyProtection="0"/>
    <xf numFmtId="0" fontId="92" fillId="28" borderId="0" applyNumberFormat="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29" borderId="0" applyNumberFormat="0" applyBorder="0" applyAlignment="0" applyProtection="0"/>
    <xf numFmtId="0" fontId="86" fillId="0" borderId="0">
      <alignment/>
      <protection/>
    </xf>
    <xf numFmtId="0" fontId="0" fillId="0" borderId="0">
      <alignment/>
      <protection/>
    </xf>
    <xf numFmtId="0" fontId="29" fillId="0" borderId="0">
      <alignment/>
      <protection/>
    </xf>
    <xf numFmtId="0" fontId="29" fillId="0" borderId="0">
      <alignment/>
      <protection/>
    </xf>
    <xf numFmtId="0" fontId="0" fillId="30" borderId="3" applyNumberFormat="0" applyFont="0" applyAlignment="0" applyProtection="0"/>
    <xf numFmtId="9" fontId="0" fillId="0" borderId="0" applyFont="0" applyFill="0" applyBorder="0" applyAlignment="0" applyProtection="0"/>
    <xf numFmtId="0" fontId="95" fillId="31" borderId="0" applyNumberFormat="0" applyBorder="0" applyAlignment="0" applyProtection="0"/>
    <xf numFmtId="0" fontId="96" fillId="26"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2" borderId="9" applyNumberFormat="0" applyAlignment="0" applyProtection="0"/>
  </cellStyleXfs>
  <cellXfs count="1063">
    <xf numFmtId="0" fontId="0" fillId="0" borderId="0" xfId="0" applyAlignment="1">
      <alignment/>
    </xf>
    <xf numFmtId="0" fontId="1" fillId="33" borderId="0" xfId="0" applyFont="1" applyFill="1" applyAlignment="1" applyProtection="1">
      <alignment vertical="center"/>
      <protection/>
    </xf>
    <xf numFmtId="0" fontId="1" fillId="33" borderId="0" xfId="0" applyFont="1" applyFill="1" applyBorder="1" applyAlignment="1" applyProtection="1">
      <alignment/>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indent="1"/>
      <protection/>
    </xf>
    <xf numFmtId="0" fontId="1"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6"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1"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1" fillId="33" borderId="0" xfId="0" applyFont="1" applyFill="1" applyBorder="1" applyAlignment="1" applyProtection="1">
      <alignment horizontal="left"/>
      <protection/>
    </xf>
    <xf numFmtId="0" fontId="1" fillId="33" borderId="16" xfId="0" applyFont="1" applyFill="1" applyBorder="1" applyAlignment="1" applyProtection="1">
      <alignment/>
      <protection/>
    </xf>
    <xf numFmtId="0" fontId="1" fillId="33" borderId="16" xfId="0" applyFont="1" applyFill="1" applyBorder="1" applyAlignment="1" applyProtection="1">
      <alignment horizontal="right"/>
      <protection/>
    </xf>
    <xf numFmtId="0" fontId="8" fillId="33" borderId="0" xfId="0" applyFont="1" applyFill="1" applyAlignment="1" applyProtection="1">
      <alignment vertical="center"/>
      <protection/>
    </xf>
    <xf numFmtId="0" fontId="9" fillId="33" borderId="0" xfId="0" applyFont="1" applyFill="1" applyBorder="1" applyAlignment="1" applyProtection="1">
      <alignment horizontal="center" vertical="center"/>
      <protection/>
    </xf>
    <xf numFmtId="0" fontId="10" fillId="33" borderId="0" xfId="0" applyNumberFormat="1" applyFont="1" applyFill="1" applyBorder="1" applyAlignment="1" applyProtection="1">
      <alignment horizontal="center" vertical="center"/>
      <protection/>
    </xf>
    <xf numFmtId="0" fontId="1" fillId="33" borderId="19" xfId="0" applyFont="1" applyFill="1" applyBorder="1" applyAlignment="1" applyProtection="1">
      <alignment vertical="center"/>
      <protection/>
    </xf>
    <xf numFmtId="0" fontId="11" fillId="33" borderId="0" xfId="0" applyFont="1" applyFill="1" applyBorder="1" applyAlignment="1" applyProtection="1">
      <alignment horizontal="center"/>
      <protection/>
    </xf>
    <xf numFmtId="0" fontId="1"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center"/>
    </xf>
    <xf numFmtId="0" fontId="6"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indent="1"/>
      <protection/>
    </xf>
    <xf numFmtId="0" fontId="2" fillId="0" borderId="0" xfId="0" applyFont="1" applyAlignment="1">
      <alignment/>
    </xf>
    <xf numFmtId="0" fontId="0" fillId="0" borderId="14" xfId="0" applyBorder="1" applyAlignment="1" applyProtection="1">
      <alignment/>
      <protection locked="0"/>
    </xf>
    <xf numFmtId="0" fontId="22" fillId="0" borderId="0" xfId="0" applyFont="1" applyAlignment="1">
      <alignment/>
    </xf>
    <xf numFmtId="0" fontId="6" fillId="0" borderId="0" xfId="0" applyFont="1" applyAlignment="1">
      <alignment horizontal="right"/>
    </xf>
    <xf numFmtId="0" fontId="0" fillId="0" borderId="0" xfId="0" applyFill="1" applyBorder="1" applyAlignment="1">
      <alignment/>
    </xf>
    <xf numFmtId="0" fontId="0" fillId="0" borderId="0" xfId="0" applyFill="1" applyBorder="1" applyAlignment="1" applyProtection="1">
      <alignment vertical="center"/>
      <protection/>
    </xf>
    <xf numFmtId="0" fontId="0" fillId="0" borderId="0" xfId="0" applyAlignment="1" applyProtection="1">
      <alignment/>
      <protection/>
    </xf>
    <xf numFmtId="0" fontId="12" fillId="0" borderId="20" xfId="0" applyFont="1" applyBorder="1" applyAlignment="1" applyProtection="1">
      <alignment horizontal="center" vertical="center"/>
      <protection/>
    </xf>
    <xf numFmtId="0" fontId="13" fillId="34" borderId="20" xfId="0" applyFont="1" applyFill="1" applyBorder="1" applyAlignment="1" applyProtection="1">
      <alignment/>
      <protection/>
    </xf>
    <xf numFmtId="0" fontId="13" fillId="34" borderId="20" xfId="0" applyFont="1" applyFill="1" applyBorder="1" applyAlignment="1" applyProtection="1">
      <alignment horizontal="center"/>
      <protection/>
    </xf>
    <xf numFmtId="0" fontId="19" fillId="34" borderId="20" xfId="0" applyFont="1" applyFill="1" applyBorder="1" applyAlignment="1" applyProtection="1">
      <alignment/>
      <protection/>
    </xf>
    <xf numFmtId="0" fontId="6"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6" fillId="33" borderId="0" xfId="0" applyFont="1" applyFill="1" applyBorder="1" applyAlignment="1" applyProtection="1">
      <alignment vertical="top"/>
      <protection/>
    </xf>
    <xf numFmtId="0" fontId="27"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0" xfId="0" applyFont="1" applyFill="1" applyBorder="1" applyAlignment="1" applyProtection="1">
      <alignment horizontal="left" vertical="center"/>
      <protection/>
    </xf>
    <xf numFmtId="0" fontId="6" fillId="33" borderId="0" xfId="0" applyFont="1" applyFill="1" applyBorder="1" applyAlignment="1" applyProtection="1">
      <alignment/>
      <protection/>
    </xf>
    <xf numFmtId="0" fontId="6" fillId="33" borderId="16" xfId="0" applyFont="1" applyFill="1" applyBorder="1" applyAlignment="1" applyProtection="1">
      <alignment/>
      <protection/>
    </xf>
    <xf numFmtId="0" fontId="29" fillId="35" borderId="21" xfId="54" applyFont="1" applyFill="1" applyBorder="1" applyAlignment="1">
      <alignment horizontal="center"/>
      <protection/>
    </xf>
    <xf numFmtId="0" fontId="29" fillId="0" borderId="22" xfId="54" applyFont="1" applyFill="1" applyBorder="1" applyAlignment="1">
      <alignment horizontal="right" wrapText="1"/>
      <protection/>
    </xf>
    <xf numFmtId="0" fontId="29" fillId="0" borderId="22" xfId="54" applyFont="1" applyFill="1" applyBorder="1" applyAlignment="1">
      <alignment wrapText="1"/>
      <protection/>
    </xf>
    <xf numFmtId="0" fontId="6" fillId="33" borderId="11" xfId="0" applyFont="1" applyFill="1" applyBorder="1" applyAlignment="1" applyProtection="1">
      <alignment vertical="center"/>
      <protection/>
    </xf>
    <xf numFmtId="0" fontId="29" fillId="35" borderId="0" xfId="54" applyFont="1" applyFill="1" applyBorder="1" applyAlignment="1">
      <alignment horizontal="center"/>
      <protection/>
    </xf>
    <xf numFmtId="0" fontId="29" fillId="35" borderId="0" xfId="54" applyFont="1" applyFill="1" applyBorder="1" applyAlignment="1">
      <alignment/>
      <protection/>
    </xf>
    <xf numFmtId="0" fontId="6" fillId="0" borderId="0" xfId="0" applyFont="1" applyBorder="1" applyAlignment="1" applyProtection="1">
      <alignment/>
      <protection/>
    </xf>
    <xf numFmtId="0" fontId="6" fillId="33" borderId="0" xfId="0" applyFont="1" applyFill="1" applyBorder="1" applyAlignment="1" applyProtection="1">
      <alignment horizontal="right" vertical="center"/>
      <protection/>
    </xf>
    <xf numFmtId="0" fontId="6" fillId="0" borderId="0" xfId="0" applyFont="1" applyBorder="1" applyAlignment="1" applyProtection="1">
      <alignment vertical="center"/>
      <protection/>
    </xf>
    <xf numFmtId="0" fontId="6" fillId="33" borderId="0" xfId="0" applyFont="1" applyFill="1" applyBorder="1" applyAlignment="1" applyProtection="1">
      <alignment horizontal="left" vertical="center" indent="2"/>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12"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indent="1"/>
      <protection/>
    </xf>
    <xf numFmtId="0" fontId="6" fillId="0" borderId="0" xfId="0" applyFont="1" applyAlignment="1">
      <alignment/>
    </xf>
    <xf numFmtId="0" fontId="29" fillId="35" borderId="0" xfId="54" applyFont="1" applyFill="1" applyBorder="1" applyAlignment="1">
      <alignment horizontal="left"/>
      <protection/>
    </xf>
    <xf numFmtId="0" fontId="0" fillId="0" borderId="13" xfId="0" applyFill="1" applyBorder="1" applyAlignment="1" applyProtection="1">
      <alignment/>
      <protection/>
    </xf>
    <xf numFmtId="0" fontId="6" fillId="33" borderId="0" xfId="0" applyFont="1" applyFill="1" applyBorder="1" applyAlignment="1" applyProtection="1">
      <alignment horizontal="centerContinuous" vertical="center"/>
      <protection/>
    </xf>
    <xf numFmtId="0" fontId="26" fillId="0" borderId="0" xfId="0" applyFont="1" applyAlignment="1">
      <alignment/>
    </xf>
    <xf numFmtId="0" fontId="6" fillId="0" borderId="0" xfId="0" applyFont="1" applyFill="1" applyBorder="1" applyAlignment="1" applyProtection="1">
      <alignment horizontal="left"/>
      <protection/>
    </xf>
    <xf numFmtId="3" fontId="6" fillId="0" borderId="0" xfId="0" applyNumberFormat="1" applyFont="1" applyFill="1" applyBorder="1" applyAlignment="1" applyProtection="1">
      <alignment horizontal="center"/>
      <protection/>
    </xf>
    <xf numFmtId="0" fontId="6" fillId="33" borderId="0" xfId="0" applyFont="1" applyFill="1" applyBorder="1" applyAlignment="1" applyProtection="1">
      <alignment horizontal="right" vertical="center"/>
      <protection/>
    </xf>
    <xf numFmtId="0" fontId="31"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indent="1"/>
      <protection/>
    </xf>
    <xf numFmtId="0" fontId="13" fillId="0" borderId="0" xfId="0" applyFont="1" applyBorder="1" applyAlignment="1">
      <alignment/>
    </xf>
    <xf numFmtId="0" fontId="1"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1"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6" fillId="36" borderId="23"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8" fillId="0" borderId="12" xfId="0" applyNumberFormat="1" applyFont="1" applyFill="1" applyBorder="1" applyAlignment="1" applyProtection="1">
      <alignment/>
      <protection hidden="1"/>
    </xf>
    <xf numFmtId="0" fontId="1" fillId="33" borderId="15"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28" fillId="0" borderId="24"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6" fillId="33" borderId="12" xfId="0" applyFont="1" applyFill="1" applyBorder="1" applyAlignment="1" applyProtection="1">
      <alignment/>
      <protection/>
    </xf>
    <xf numFmtId="0" fontId="8" fillId="33" borderId="0" xfId="0" applyFont="1" applyFill="1" applyBorder="1" applyAlignment="1" applyProtection="1">
      <alignment/>
      <protection/>
    </xf>
    <xf numFmtId="0" fontId="6" fillId="33" borderId="13" xfId="0" applyFont="1" applyFill="1" applyBorder="1" applyAlignment="1" applyProtection="1">
      <alignment/>
      <protection/>
    </xf>
    <xf numFmtId="0" fontId="6" fillId="33" borderId="13" xfId="0" applyFont="1" applyFill="1" applyBorder="1" applyAlignment="1" applyProtection="1">
      <alignment/>
      <protection/>
    </xf>
    <xf numFmtId="0" fontId="6" fillId="33" borderId="12" xfId="0" applyFont="1" applyFill="1" applyBorder="1" applyAlignment="1" applyProtection="1">
      <alignment/>
      <protection/>
    </xf>
    <xf numFmtId="0" fontId="8" fillId="33" borderId="0" xfId="0" applyFont="1" applyFill="1" applyBorder="1" applyAlignment="1" applyProtection="1">
      <alignment/>
      <protection/>
    </xf>
    <xf numFmtId="0" fontId="0" fillId="33" borderId="0" xfId="0" applyFill="1" applyAlignment="1">
      <alignment/>
    </xf>
    <xf numFmtId="0" fontId="26" fillId="33" borderId="0" xfId="0" applyFont="1" applyFill="1" applyBorder="1" applyAlignment="1" applyProtection="1">
      <alignment/>
      <protection/>
    </xf>
    <xf numFmtId="0" fontId="6" fillId="33" borderId="17" xfId="0" applyFont="1" applyFill="1" applyBorder="1" applyAlignment="1" applyProtection="1">
      <alignment/>
      <protection/>
    </xf>
    <xf numFmtId="0" fontId="6" fillId="33" borderId="15" xfId="0" applyFont="1" applyFill="1" applyBorder="1" applyAlignment="1" applyProtection="1">
      <alignment/>
      <protection/>
    </xf>
    <xf numFmtId="0" fontId="0" fillId="0" borderId="0" xfId="0" applyAlignment="1" applyProtection="1">
      <alignment/>
      <protection locked="0"/>
    </xf>
    <xf numFmtId="0" fontId="8" fillId="33" borderId="12"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2"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0"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6" fillId="0" borderId="0" xfId="0" applyNumberFormat="1" applyFont="1" applyAlignment="1" applyProtection="1">
      <alignment/>
      <protection hidden="1"/>
    </xf>
    <xf numFmtId="182" fontId="1" fillId="0" borderId="0" xfId="0" applyNumberFormat="1" applyFont="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6" fillId="33" borderId="14"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0" fillId="0" borderId="14" xfId="0" applyBorder="1" applyAlignment="1">
      <alignment horizontal="center"/>
    </xf>
    <xf numFmtId="0" fontId="32" fillId="0" borderId="14" xfId="0" applyFont="1" applyBorder="1" applyAlignment="1" applyProtection="1">
      <alignment/>
      <protection locked="0"/>
    </xf>
    <xf numFmtId="0" fontId="1" fillId="0" borderId="14" xfId="0" applyFont="1" applyBorder="1" applyAlignment="1" applyProtection="1">
      <alignment/>
      <protection locked="0"/>
    </xf>
    <xf numFmtId="0" fontId="12" fillId="37" borderId="20" xfId="0" applyFont="1" applyFill="1" applyBorder="1" applyAlignment="1" applyProtection="1">
      <alignment horizontal="center" vertical="center"/>
      <protection/>
    </xf>
    <xf numFmtId="0" fontId="29" fillId="35" borderId="21" xfId="55" applyFont="1" applyFill="1" applyBorder="1" applyAlignment="1">
      <alignment horizontal="center"/>
      <protection/>
    </xf>
    <xf numFmtId="0" fontId="29" fillId="0" borderId="22" xfId="55" applyFont="1" applyFill="1" applyBorder="1" applyAlignment="1">
      <alignment horizontal="right" wrapText="1"/>
      <protection/>
    </xf>
    <xf numFmtId="0" fontId="29" fillId="0" borderId="22" xfId="55" applyFont="1" applyFill="1" applyBorder="1" applyAlignment="1">
      <alignment wrapText="1"/>
      <protection/>
    </xf>
    <xf numFmtId="4" fontId="0" fillId="0" borderId="0" xfId="0" applyNumberFormat="1" applyAlignment="1">
      <alignment/>
    </xf>
    <xf numFmtId="4" fontId="29" fillId="0" borderId="22" xfId="55" applyNumberFormat="1" applyFont="1" applyFill="1" applyBorder="1" applyAlignment="1">
      <alignment horizontal="right" wrapText="1"/>
      <protection/>
    </xf>
    <xf numFmtId="0" fontId="13" fillId="38" borderId="14" xfId="0" applyFont="1" applyFill="1" applyBorder="1" applyAlignment="1" applyProtection="1">
      <alignment horizontal="center"/>
      <protection hidden="1"/>
    </xf>
    <xf numFmtId="3" fontId="13" fillId="38" borderId="14" xfId="0" applyNumberFormat="1" applyFont="1" applyFill="1" applyBorder="1" applyAlignment="1" applyProtection="1">
      <alignment horizontal="center"/>
      <protection hidden="1"/>
    </xf>
    <xf numFmtId="176" fontId="13" fillId="38" borderId="14" xfId="0" applyNumberFormat="1" applyFont="1" applyFill="1" applyBorder="1" applyAlignment="1" applyProtection="1">
      <alignment horizontal="center"/>
      <protection hidden="1"/>
    </xf>
    <xf numFmtId="3" fontId="13" fillId="38" borderId="20" xfId="49" applyNumberFormat="1" applyFont="1" applyFill="1" applyBorder="1" applyAlignment="1" applyProtection="1">
      <alignment horizontal="center"/>
      <protection hidden="1"/>
    </xf>
    <xf numFmtId="176" fontId="13" fillId="38" borderId="20" xfId="49" applyNumberFormat="1" applyFont="1" applyFill="1" applyBorder="1" applyAlignment="1" applyProtection="1">
      <alignment horizontal="center"/>
      <protection hidden="1"/>
    </xf>
    <xf numFmtId="0" fontId="0" fillId="0" borderId="26" xfId="0" applyBorder="1" applyAlignment="1" applyProtection="1">
      <alignment/>
      <protection hidden="1"/>
    </xf>
    <xf numFmtId="0" fontId="12" fillId="0" borderId="26" xfId="0" applyFont="1" applyBorder="1" applyAlignment="1" applyProtection="1">
      <alignment vertical="center"/>
      <protection hidden="1"/>
    </xf>
    <xf numFmtId="0" fontId="12" fillId="0" borderId="27" xfId="0" applyFont="1" applyBorder="1" applyAlignment="1" applyProtection="1">
      <alignment vertical="center"/>
      <protection hidden="1"/>
    </xf>
    <xf numFmtId="0" fontId="13" fillId="0" borderId="28" xfId="0" applyFont="1" applyBorder="1" applyAlignment="1" applyProtection="1">
      <alignment horizontal="center" vertical="center" wrapText="1"/>
      <protection hidden="1"/>
    </xf>
    <xf numFmtId="0" fontId="6" fillId="0" borderId="0" xfId="0" applyFont="1" applyAlignment="1" applyProtection="1">
      <alignment horizontal="right"/>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42" fontId="13" fillId="0" borderId="0" xfId="49" applyNumberFormat="1" applyFont="1" applyFill="1" applyBorder="1" applyAlignment="1" applyProtection="1">
      <alignment/>
      <protection hidden="1"/>
    </xf>
    <xf numFmtId="3" fontId="13" fillId="0" borderId="0" xfId="49" applyNumberFormat="1" applyFont="1" applyFill="1" applyBorder="1" applyAlignment="1" applyProtection="1">
      <alignment horizontal="center"/>
      <protection hidden="1"/>
    </xf>
    <xf numFmtId="176" fontId="13" fillId="0" borderId="0" xfId="49" applyNumberFormat="1" applyFont="1" applyFill="1" applyBorder="1" applyAlignment="1" applyProtection="1">
      <alignment horizontal="center"/>
      <protection hidden="1"/>
    </xf>
    <xf numFmtId="0" fontId="13" fillId="0" borderId="0" xfId="0" applyFont="1" applyFill="1" applyBorder="1" applyAlignment="1" applyProtection="1">
      <alignment horizontal="center"/>
      <protection/>
    </xf>
    <xf numFmtId="0" fontId="19" fillId="0" borderId="0" xfId="0" applyFont="1" applyFill="1" applyBorder="1" applyAlignment="1" applyProtection="1">
      <alignment/>
      <protection/>
    </xf>
    <xf numFmtId="0" fontId="32" fillId="0" borderId="0" xfId="0" applyFont="1" applyAlignment="1">
      <alignment/>
    </xf>
    <xf numFmtId="194" fontId="13" fillId="0" borderId="14" xfId="49" applyNumberFormat="1" applyFont="1" applyBorder="1" applyAlignment="1" applyProtection="1">
      <alignment horizontal="center"/>
      <protection locked="0"/>
    </xf>
    <xf numFmtId="194" fontId="13" fillId="0" borderId="29" xfId="49" applyNumberFormat="1" applyFont="1" applyBorder="1" applyAlignment="1" applyProtection="1">
      <alignment horizontal="center"/>
      <protection locked="0"/>
    </xf>
    <xf numFmtId="0" fontId="0" fillId="0" borderId="0" xfId="0" applyBorder="1" applyAlignment="1" applyProtection="1">
      <alignment/>
      <protection hidden="1"/>
    </xf>
    <xf numFmtId="0" fontId="1" fillId="33" borderId="0" xfId="0" applyFont="1" applyFill="1" applyBorder="1" applyAlignment="1" applyProtection="1">
      <alignment vertical="center"/>
      <protection hidden="1"/>
    </xf>
    <xf numFmtId="0" fontId="24" fillId="0" borderId="0" xfId="0" applyFont="1" applyBorder="1" applyAlignment="1" applyProtection="1">
      <alignment/>
      <protection hidden="1"/>
    </xf>
    <xf numFmtId="0" fontId="0" fillId="0" borderId="0" xfId="0" applyBorder="1" applyAlignment="1" applyProtection="1">
      <alignment/>
      <protection hidden="1"/>
    </xf>
    <xf numFmtId="0" fontId="6" fillId="38" borderId="14" xfId="0" applyFont="1" applyFill="1" applyBorder="1" applyAlignment="1" applyProtection="1">
      <alignment horizontal="center"/>
      <protection hidden="1"/>
    </xf>
    <xf numFmtId="0" fontId="0" fillId="39" borderId="0" xfId="0" applyFont="1" applyFill="1" applyAlignment="1">
      <alignment/>
    </xf>
    <xf numFmtId="0" fontId="0" fillId="39" borderId="0" xfId="0" applyFill="1" applyAlignment="1">
      <alignment/>
    </xf>
    <xf numFmtId="3" fontId="0" fillId="0" borderId="0" xfId="0" applyNumberFormat="1" applyAlignment="1">
      <alignment/>
    </xf>
    <xf numFmtId="0" fontId="0" fillId="0" borderId="0" xfId="0" applyAlignment="1">
      <alignment vertical="center"/>
    </xf>
    <xf numFmtId="0" fontId="11" fillId="33" borderId="0" xfId="0" applyFont="1" applyFill="1" applyBorder="1" applyAlignment="1" applyProtection="1">
      <alignment vertical="center"/>
      <protection/>
    </xf>
    <xf numFmtId="0" fontId="28" fillId="37" borderId="30" xfId="0" applyFont="1" applyFill="1" applyBorder="1" applyAlignment="1" applyProtection="1">
      <alignment vertical="center"/>
      <protection/>
    </xf>
    <xf numFmtId="0" fontId="28" fillId="37" borderId="24" xfId="0" applyFont="1" applyFill="1" applyBorder="1" applyAlignment="1" applyProtection="1">
      <alignment vertical="center"/>
      <protection/>
    </xf>
    <xf numFmtId="0" fontId="0" fillId="0" borderId="24" xfId="0" applyBorder="1" applyAlignment="1">
      <alignment vertical="center"/>
    </xf>
    <xf numFmtId="0" fontId="6" fillId="33" borderId="24" xfId="0" applyFont="1" applyFill="1" applyBorder="1" applyAlignment="1" applyProtection="1">
      <alignment vertical="center"/>
      <protection/>
    </xf>
    <xf numFmtId="0" fontId="12" fillId="33" borderId="24" xfId="0" applyFont="1" applyFill="1" applyBorder="1" applyAlignment="1" applyProtection="1">
      <alignment vertical="center"/>
      <protection/>
    </xf>
    <xf numFmtId="0" fontId="0" fillId="0" borderId="31" xfId="0" applyBorder="1" applyAlignment="1">
      <alignment vertical="center"/>
    </xf>
    <xf numFmtId="0" fontId="13" fillId="0" borderId="28" xfId="0" applyFont="1" applyBorder="1" applyAlignment="1" applyProtection="1">
      <alignment horizontal="center" vertical="center"/>
      <protection hidden="1"/>
    </xf>
    <xf numFmtId="0" fontId="0" fillId="0" borderId="28" xfId="0" applyBorder="1" applyAlignment="1" applyProtection="1">
      <alignment horizontal="center" vertical="center" wrapText="1"/>
      <protection hidden="1"/>
    </xf>
    <xf numFmtId="0" fontId="0" fillId="0" borderId="28" xfId="0" applyBorder="1" applyAlignment="1" applyProtection="1">
      <alignment horizontal="center" vertical="center"/>
      <protection hidden="1"/>
    </xf>
    <xf numFmtId="0" fontId="13" fillId="0" borderId="32" xfId="0" applyFont="1"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wrapText="1"/>
      <protection hidden="1"/>
    </xf>
    <xf numFmtId="0" fontId="0" fillId="0" borderId="28" xfId="0"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protection hidden="1"/>
    </xf>
    <xf numFmtId="0" fontId="0" fillId="0" borderId="30" xfId="0" applyBorder="1" applyAlignment="1" applyProtection="1">
      <alignment horizontal="center" vertical="center" wrapText="1"/>
      <protection hidden="1"/>
    </xf>
    <xf numFmtId="0" fontId="3"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1"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27" xfId="0" applyBorder="1" applyAlignment="1" applyProtection="1">
      <alignment/>
      <protection locked="0"/>
    </xf>
    <xf numFmtId="0" fontId="0" fillId="0" borderId="24" xfId="0" applyBorder="1" applyAlignment="1" applyProtection="1">
      <alignment horizontal="left"/>
      <protection hidden="1"/>
    </xf>
    <xf numFmtId="0" fontId="13" fillId="34" borderId="20" xfId="0" applyFont="1" applyFill="1" applyBorder="1" applyAlignment="1" applyProtection="1">
      <alignment/>
      <protection hidden="1"/>
    </xf>
    <xf numFmtId="42" fontId="13" fillId="34" borderId="20" xfId="49" applyNumberFormat="1" applyFont="1" applyFill="1" applyBorder="1" applyAlignment="1" applyProtection="1">
      <alignment/>
      <protection hidden="1"/>
    </xf>
    <xf numFmtId="0" fontId="13" fillId="0" borderId="0" xfId="0" applyFont="1" applyFill="1" applyBorder="1" applyAlignment="1" applyProtection="1">
      <alignment/>
      <protection hidden="1"/>
    </xf>
    <xf numFmtId="0" fontId="0" fillId="33" borderId="0"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center" vertical="center"/>
      <protection hidden="1"/>
    </xf>
    <xf numFmtId="0" fontId="1" fillId="33" borderId="13"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26" fillId="0" borderId="0" xfId="0" applyFont="1" applyFill="1" applyBorder="1" applyAlignment="1" applyProtection="1">
      <alignment vertical="top"/>
      <protection hidden="1"/>
    </xf>
    <xf numFmtId="0" fontId="0" fillId="39" borderId="0" xfId="0" applyFont="1" applyFill="1" applyAlignment="1" applyProtection="1">
      <alignment/>
      <protection locked="0"/>
    </xf>
    <xf numFmtId="0" fontId="0" fillId="39"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1" fillId="33" borderId="12" xfId="0" applyFont="1" applyFill="1" applyBorder="1" applyAlignment="1" applyProtection="1">
      <alignment vertical="center"/>
      <protection hidden="1" locked="0"/>
    </xf>
    <xf numFmtId="0" fontId="1" fillId="33" borderId="0" xfId="0" applyFont="1" applyFill="1" applyBorder="1" applyAlignment="1" applyProtection="1">
      <alignment vertical="center"/>
      <protection hidden="1" locked="0"/>
    </xf>
    <xf numFmtId="0" fontId="8" fillId="33" borderId="0" xfId="0" applyFont="1" applyFill="1" applyBorder="1" applyAlignment="1" applyProtection="1">
      <alignment/>
      <protection hidden="1"/>
    </xf>
    <xf numFmtId="0" fontId="6" fillId="33" borderId="0" xfId="0" applyFont="1" applyFill="1" applyAlignment="1" applyProtection="1">
      <alignment/>
      <protection hidden="1"/>
    </xf>
    <xf numFmtId="0" fontId="6"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6" fillId="33" borderId="0" xfId="0" applyFont="1" applyFill="1" applyBorder="1" applyAlignment="1" applyProtection="1">
      <alignment/>
      <protection hidden="1"/>
    </xf>
    <xf numFmtId="0" fontId="0" fillId="33" borderId="0" xfId="0" applyFill="1" applyAlignment="1" applyProtection="1">
      <alignment/>
      <protection hidden="1"/>
    </xf>
    <xf numFmtId="0" fontId="8" fillId="33" borderId="0" xfId="0" applyFont="1" applyFill="1" applyBorder="1" applyAlignment="1" applyProtection="1">
      <alignment/>
      <protection hidden="1"/>
    </xf>
    <xf numFmtId="0" fontId="6" fillId="0" borderId="0" xfId="0" applyFont="1" applyFill="1" applyBorder="1" applyAlignment="1" applyProtection="1">
      <alignment vertical="center"/>
      <protection hidden="1"/>
    </xf>
    <xf numFmtId="0" fontId="28" fillId="37" borderId="30" xfId="0" applyFont="1" applyFill="1" applyBorder="1" applyAlignment="1" applyProtection="1">
      <alignment vertical="center"/>
      <protection hidden="1"/>
    </xf>
    <xf numFmtId="0" fontId="28" fillId="37" borderId="24" xfId="0" applyFont="1" applyFill="1" applyBorder="1" applyAlignment="1" applyProtection="1">
      <alignment vertical="center"/>
      <protection hidden="1"/>
    </xf>
    <xf numFmtId="185" fontId="6" fillId="38" borderId="26" xfId="0" applyNumberFormat="1" applyFont="1" applyFill="1" applyBorder="1" applyAlignment="1" applyProtection="1">
      <alignment/>
      <protection hidden="1"/>
    </xf>
    <xf numFmtId="0" fontId="0" fillId="37" borderId="0" xfId="0" applyFill="1" applyAlignment="1">
      <alignment/>
    </xf>
    <xf numFmtId="9" fontId="6" fillId="0" borderId="0" xfId="0" applyNumberFormat="1" applyFont="1" applyFill="1" applyBorder="1" applyAlignment="1" applyProtection="1">
      <alignment vertical="center"/>
      <protection hidden="1"/>
    </xf>
    <xf numFmtId="0" fontId="28" fillId="37" borderId="0" xfId="0" applyFont="1" applyFill="1" applyBorder="1" applyAlignment="1" applyProtection="1">
      <alignment vertical="center"/>
      <protection hidden="1"/>
    </xf>
    <xf numFmtId="0" fontId="0" fillId="37" borderId="0" xfId="0" applyFill="1" applyAlignment="1" applyProtection="1">
      <alignment/>
      <protection hidden="1"/>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1" fillId="33" borderId="33" xfId="0" applyFont="1" applyFill="1" applyBorder="1" applyAlignment="1" applyProtection="1">
      <alignment vertical="center"/>
      <protection/>
    </xf>
    <xf numFmtId="0" fontId="5" fillId="33" borderId="11" xfId="0" applyFont="1" applyFill="1" applyBorder="1" applyAlignment="1" applyProtection="1">
      <alignment vertical="center"/>
      <protection/>
    </xf>
    <xf numFmtId="0" fontId="12" fillId="33" borderId="11"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protection hidden="1"/>
    </xf>
    <xf numFmtId="0" fontId="32" fillId="0" borderId="0" xfId="0" applyFont="1" applyBorder="1" applyAlignment="1" applyProtection="1">
      <alignment/>
      <protection hidden="1"/>
    </xf>
    <xf numFmtId="0" fontId="29" fillId="0" borderId="22" xfId="55" applyFont="1" applyFill="1" applyBorder="1" applyAlignment="1" applyProtection="1">
      <alignment wrapText="1"/>
      <protection locked="0"/>
    </xf>
    <xf numFmtId="0" fontId="26" fillId="0" borderId="0" xfId="0" applyFont="1" applyFill="1" applyAlignment="1" applyProtection="1">
      <alignment/>
      <protection hidden="1"/>
    </xf>
    <xf numFmtId="0" fontId="0" fillId="0" borderId="0" xfId="0" applyFill="1" applyAlignment="1" applyProtection="1">
      <alignment/>
      <protection hidden="1"/>
    </xf>
    <xf numFmtId="0" fontId="33" fillId="0" borderId="0" xfId="0" applyFont="1" applyFill="1" applyAlignment="1" applyProtection="1">
      <alignment/>
      <protection hidden="1"/>
    </xf>
    <xf numFmtId="0" fontId="27" fillId="0" borderId="0" xfId="0" applyFont="1" applyFill="1" applyAlignment="1" applyProtection="1">
      <alignment/>
      <protection hidden="1"/>
    </xf>
    <xf numFmtId="0" fontId="0" fillId="0" borderId="0" xfId="0" applyBorder="1" applyAlignment="1" applyProtection="1">
      <alignment/>
      <protection locked="0"/>
    </xf>
    <xf numFmtId="0" fontId="5" fillId="0" borderId="23" xfId="0" applyFont="1" applyBorder="1" applyAlignment="1" applyProtection="1">
      <alignment vertical="center"/>
      <protection hidden="1"/>
    </xf>
    <xf numFmtId="0" fontId="24" fillId="0" borderId="0" xfId="0" applyFont="1" applyBorder="1" applyAlignment="1" applyProtection="1">
      <alignment horizontal="left"/>
      <protection hidden="1"/>
    </xf>
    <xf numFmtId="0" fontId="12" fillId="0" borderId="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textRotation="90" wrapText="1"/>
      <protection hidden="1"/>
    </xf>
    <xf numFmtId="0" fontId="13" fillId="0" borderId="0" xfId="0" applyFont="1" applyBorder="1" applyAlignment="1" applyProtection="1">
      <alignment/>
      <protection locked="0"/>
    </xf>
    <xf numFmtId="0" fontId="13" fillId="34" borderId="0" xfId="0" applyFont="1" applyFill="1" applyBorder="1" applyAlignment="1" applyProtection="1">
      <alignment/>
      <protection/>
    </xf>
    <xf numFmtId="4" fontId="29" fillId="0" borderId="22" xfId="55" applyNumberFormat="1" applyFont="1" applyFill="1" applyBorder="1" applyAlignment="1" applyProtection="1">
      <alignment horizontal="right" wrapText="1"/>
      <protection locked="0"/>
    </xf>
    <xf numFmtId="0" fontId="29" fillId="0" borderId="22" xfId="55" applyFont="1" applyFill="1" applyBorder="1" applyAlignment="1" applyProtection="1">
      <alignment horizontal="right" wrapText="1"/>
      <protection locked="0"/>
    </xf>
    <xf numFmtId="10" fontId="29" fillId="0" borderId="22" xfId="55" applyNumberFormat="1" applyFont="1" applyFill="1" applyBorder="1" applyAlignment="1" applyProtection="1">
      <alignment horizontal="right" wrapText="1"/>
      <protection locked="0"/>
    </xf>
    <xf numFmtId="0" fontId="0" fillId="0" borderId="16" xfId="0" applyFill="1" applyBorder="1" applyAlignment="1">
      <alignment/>
    </xf>
    <xf numFmtId="0" fontId="29" fillId="35" borderId="21" xfId="55" applyFont="1" applyFill="1" applyBorder="1" applyAlignment="1" applyProtection="1">
      <alignment horizontal="center"/>
      <protection locked="0"/>
    </xf>
    <xf numFmtId="0" fontId="34" fillId="0" borderId="0" xfId="0" applyFont="1" applyFill="1" applyAlignment="1">
      <alignment/>
    </xf>
    <xf numFmtId="0" fontId="35" fillId="0" borderId="0" xfId="0" applyFont="1" applyAlignment="1">
      <alignment/>
    </xf>
    <xf numFmtId="0" fontId="0" fillId="0" borderId="0" xfId="0" applyAlignment="1" applyProtection="1" quotePrefix="1">
      <alignment/>
      <protection locked="0"/>
    </xf>
    <xf numFmtId="0" fontId="8" fillId="33" borderId="13" xfId="0" applyFont="1" applyFill="1" applyBorder="1" applyAlignment="1" applyProtection="1">
      <alignment horizontal="center"/>
      <protection/>
    </xf>
    <xf numFmtId="0" fontId="6" fillId="0" borderId="0" xfId="0" applyFont="1" applyFill="1" applyBorder="1" applyAlignment="1" applyProtection="1">
      <alignment/>
      <protection hidden="1"/>
    </xf>
    <xf numFmtId="0" fontId="6" fillId="0" borderId="34" xfId="0" applyFont="1" applyFill="1" applyBorder="1" applyAlignment="1" applyProtection="1">
      <alignment/>
      <protection/>
    </xf>
    <xf numFmtId="0" fontId="0" fillId="0" borderId="0" xfId="0" applyFont="1" applyAlignment="1">
      <alignment/>
    </xf>
    <xf numFmtId="0" fontId="13" fillId="0" borderId="14" xfId="0" applyFont="1" applyBorder="1" applyAlignment="1" applyProtection="1">
      <alignment horizontal="center"/>
      <protection hidden="1"/>
    </xf>
    <xf numFmtId="0" fontId="13" fillId="0" borderId="14" xfId="0" applyFont="1" applyBorder="1" applyAlignment="1" applyProtection="1">
      <alignment/>
      <protection hidden="1"/>
    </xf>
    <xf numFmtId="9" fontId="13" fillId="38" borderId="14" xfId="0" applyNumberFormat="1" applyFont="1" applyFill="1" applyBorder="1" applyAlignment="1" applyProtection="1">
      <alignment horizontal="center"/>
      <protection hidden="1"/>
    </xf>
    <xf numFmtId="3" fontId="13" fillId="0" borderId="14" xfId="0" applyNumberFormat="1" applyFont="1" applyBorder="1" applyAlignment="1" applyProtection="1">
      <alignment horizontal="center"/>
      <protection hidden="1"/>
    </xf>
    <xf numFmtId="0" fontId="13" fillId="0" borderId="14" xfId="0" applyFont="1" applyBorder="1" applyAlignment="1" applyProtection="1">
      <alignment horizontal="left"/>
      <protection hidden="1"/>
    </xf>
    <xf numFmtId="2" fontId="13" fillId="0" borderId="14" xfId="0" applyNumberFormat="1" applyFont="1" applyBorder="1" applyAlignment="1" applyProtection="1">
      <alignment/>
      <protection hidden="1"/>
    </xf>
    <xf numFmtId="3" fontId="13" fillId="0" borderId="14" xfId="0" applyNumberFormat="1" applyFont="1" applyBorder="1" applyAlignment="1" applyProtection="1">
      <alignment/>
      <protection hidden="1"/>
    </xf>
    <xf numFmtId="0" fontId="13" fillId="0" borderId="28" xfId="0" applyFont="1" applyBorder="1" applyAlignment="1" applyProtection="1">
      <alignment/>
      <protection hidden="1"/>
    </xf>
    <xf numFmtId="0" fontId="13" fillId="0" borderId="29" xfId="0" applyFont="1" applyBorder="1" applyAlignment="1" applyProtection="1">
      <alignment horizontal="center"/>
      <protection hidden="1"/>
    </xf>
    <xf numFmtId="0" fontId="13" fillId="0" borderId="29" xfId="0" applyFont="1" applyBorder="1" applyAlignment="1" applyProtection="1">
      <alignment/>
      <protection hidden="1"/>
    </xf>
    <xf numFmtId="3" fontId="13" fillId="0" borderId="29" xfId="0" applyNumberFormat="1" applyFont="1" applyBorder="1" applyAlignment="1" applyProtection="1">
      <alignment horizontal="center"/>
      <protection hidden="1"/>
    </xf>
    <xf numFmtId="0" fontId="13" fillId="0" borderId="29" xfId="0" applyFont="1" applyBorder="1" applyAlignment="1" applyProtection="1">
      <alignment horizontal="left"/>
      <protection hidden="1"/>
    </xf>
    <xf numFmtId="2" fontId="13" fillId="0" borderId="29" xfId="0" applyNumberFormat="1" applyFont="1" applyBorder="1" applyAlignment="1" applyProtection="1">
      <alignment/>
      <protection hidden="1"/>
    </xf>
    <xf numFmtId="3" fontId="13" fillId="0" borderId="29" xfId="0" applyNumberFormat="1" applyFont="1" applyBorder="1" applyAlignment="1" applyProtection="1">
      <alignment/>
      <protection hidden="1"/>
    </xf>
    <xf numFmtId="0" fontId="0" fillId="0" borderId="0" xfId="0" applyFont="1" applyAlignment="1" quotePrefix="1">
      <alignment/>
    </xf>
    <xf numFmtId="0" fontId="0" fillId="0" borderId="0" xfId="0" applyFont="1" applyFill="1" applyAlignment="1" quotePrefix="1">
      <alignment/>
    </xf>
    <xf numFmtId="182" fontId="13" fillId="0" borderId="14" xfId="49" applyNumberFormat="1" applyFont="1" applyBorder="1" applyAlignment="1" applyProtection="1">
      <alignment/>
      <protection hidden="1"/>
    </xf>
    <xf numFmtId="182" fontId="13" fillId="0" borderId="29" xfId="49" applyNumberFormat="1" applyFont="1" applyBorder="1" applyAlignment="1" applyProtection="1">
      <alignment/>
      <protection hidden="1"/>
    </xf>
    <xf numFmtId="182" fontId="13" fillId="38" borderId="20" xfId="49" applyNumberFormat="1" applyFont="1" applyFill="1" applyBorder="1" applyAlignment="1" applyProtection="1">
      <alignment/>
      <protection hidden="1"/>
    </xf>
    <xf numFmtId="3" fontId="13" fillId="0" borderId="14" xfId="0" applyNumberFormat="1" applyFont="1" applyBorder="1" applyAlignment="1" applyProtection="1" quotePrefix="1">
      <alignment horizontal="center"/>
      <protection hidden="1"/>
    </xf>
    <xf numFmtId="0" fontId="0" fillId="0" borderId="0" xfId="0" applyNumberFormat="1" applyAlignment="1">
      <alignment/>
    </xf>
    <xf numFmtId="182" fontId="13" fillId="0" borderId="14" xfId="49" applyNumberFormat="1" applyFont="1" applyFill="1" applyBorder="1" applyAlignment="1" applyProtection="1">
      <alignment/>
      <protection hidden="1"/>
    </xf>
    <xf numFmtId="192" fontId="13" fillId="0" borderId="14" xfId="0" applyNumberFormat="1" applyFont="1" applyBorder="1" applyAlignment="1" applyProtection="1">
      <alignment/>
      <protection hidden="1"/>
    </xf>
    <xf numFmtId="182" fontId="13" fillId="40" borderId="14" xfId="49" applyNumberFormat="1" applyFont="1" applyFill="1" applyBorder="1" applyAlignment="1" applyProtection="1">
      <alignment/>
      <protection hidden="1"/>
    </xf>
    <xf numFmtId="0" fontId="37" fillId="0" borderId="0" xfId="0" applyFont="1" applyAlignment="1">
      <alignment/>
    </xf>
    <xf numFmtId="0" fontId="6" fillId="33" borderId="12" xfId="0" applyFont="1" applyFill="1" applyBorder="1" applyAlignment="1" applyProtection="1">
      <alignment/>
      <protection hidden="1"/>
    </xf>
    <xf numFmtId="0" fontId="6" fillId="33" borderId="12" xfId="0" applyFont="1" applyFill="1" applyBorder="1" applyAlignment="1" applyProtection="1">
      <alignment/>
      <protection hidden="1"/>
    </xf>
    <xf numFmtId="0" fontId="6" fillId="33" borderId="15" xfId="0" applyFont="1" applyFill="1" applyBorder="1" applyAlignment="1" applyProtection="1">
      <alignment/>
      <protection hidden="1"/>
    </xf>
    <xf numFmtId="0" fontId="6" fillId="33" borderId="16" xfId="0" applyFont="1" applyFill="1" applyBorder="1" applyAlignment="1" applyProtection="1">
      <alignment/>
      <protection hidden="1"/>
    </xf>
    <xf numFmtId="0" fontId="6" fillId="33" borderId="16" xfId="0" applyFont="1" applyFill="1" applyBorder="1" applyAlignment="1" applyProtection="1">
      <alignment horizontal="left"/>
      <protection hidden="1"/>
    </xf>
    <xf numFmtId="0" fontId="6" fillId="33" borderId="13" xfId="0" applyFont="1" applyFill="1" applyBorder="1" applyAlignment="1" applyProtection="1">
      <alignment/>
      <protection hidden="1"/>
    </xf>
    <xf numFmtId="0" fontId="6" fillId="33" borderId="13" xfId="0" applyFont="1" applyFill="1" applyBorder="1" applyAlignment="1" applyProtection="1">
      <alignment/>
      <protection hidden="1"/>
    </xf>
    <xf numFmtId="0" fontId="6" fillId="33" borderId="16" xfId="0" applyFont="1" applyFill="1" applyBorder="1" applyAlignment="1" applyProtection="1">
      <alignment/>
      <protection hidden="1"/>
    </xf>
    <xf numFmtId="0" fontId="8" fillId="33" borderId="16" xfId="0" applyFont="1" applyFill="1" applyBorder="1" applyAlignment="1" applyProtection="1">
      <alignment/>
      <protection hidden="1"/>
    </xf>
    <xf numFmtId="0" fontId="6" fillId="33" borderId="17" xfId="0" applyFont="1" applyFill="1" applyBorder="1" applyAlignment="1" applyProtection="1">
      <alignment/>
      <protection hidden="1"/>
    </xf>
    <xf numFmtId="0" fontId="0" fillId="41" borderId="0" xfId="0" applyFill="1" applyAlignment="1">
      <alignment/>
    </xf>
    <xf numFmtId="3" fontId="13" fillId="40" borderId="14" xfId="0" applyNumberFormat="1" applyFont="1" applyFill="1" applyBorder="1" applyAlignment="1" applyProtection="1">
      <alignment horizontal="center"/>
      <protection hidden="1"/>
    </xf>
    <xf numFmtId="0" fontId="1" fillId="33"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6" fillId="33" borderId="0" xfId="0" applyFont="1" applyFill="1" applyBorder="1" applyAlignment="1" applyProtection="1">
      <alignment horizontal="left" vertical="center"/>
      <protection locked="0"/>
    </xf>
    <xf numFmtId="3"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176" fontId="6" fillId="40" borderId="0" xfId="0" applyNumberFormat="1" applyFont="1" applyFill="1" applyBorder="1" applyAlignment="1" applyProtection="1">
      <alignment horizontal="center" vertical="center"/>
      <protection hidden="1"/>
    </xf>
    <xf numFmtId="0" fontId="35" fillId="0" borderId="0" xfId="0" applyFont="1" applyAlignment="1" applyProtection="1">
      <alignment/>
      <protection hidden="1"/>
    </xf>
    <xf numFmtId="49" fontId="0" fillId="0" borderId="0" xfId="0" applyNumberFormat="1" applyAlignment="1" applyProtection="1">
      <alignment/>
      <protection hidden="1"/>
    </xf>
    <xf numFmtId="0" fontId="32" fillId="0" borderId="0" xfId="0" applyFont="1" applyAlignment="1" applyProtection="1">
      <alignment/>
      <protection hidden="1"/>
    </xf>
    <xf numFmtId="182" fontId="32" fillId="0" borderId="0" xfId="0" applyNumberFormat="1" applyFont="1" applyAlignment="1" applyProtection="1">
      <alignment/>
      <protection hidden="1"/>
    </xf>
    <xf numFmtId="0" fontId="0" fillId="0" borderId="0" xfId="0" applyFont="1" applyAlignment="1" applyProtection="1">
      <alignment/>
      <protection hidden="1"/>
    </xf>
    <xf numFmtId="182" fontId="6" fillId="0" borderId="0" xfId="0" applyNumberFormat="1" applyFont="1" applyAlignment="1" applyProtection="1">
      <alignment/>
      <protection hidden="1"/>
    </xf>
    <xf numFmtId="182" fontId="0" fillId="0" borderId="0" xfId="0" applyNumberFormat="1" applyFont="1" applyAlignment="1" applyProtection="1">
      <alignment horizontal="right"/>
      <protection hidden="1"/>
    </xf>
    <xf numFmtId="182" fontId="1" fillId="0" borderId="0" xfId="0" applyNumberFormat="1" applyFont="1" applyBorder="1" applyAlignment="1" applyProtection="1">
      <alignment/>
      <protection hidden="1"/>
    </xf>
    <xf numFmtId="0" fontId="20" fillId="0" borderId="0" xfId="0" applyFont="1" applyFill="1" applyBorder="1" applyAlignment="1" applyProtection="1">
      <alignment vertical="top"/>
      <protection hidden="1"/>
    </xf>
    <xf numFmtId="0" fontId="38" fillId="0" borderId="0" xfId="0" applyFont="1" applyFill="1" applyBorder="1" applyAlignment="1" applyProtection="1">
      <alignment vertical="top"/>
      <protection hidden="1"/>
    </xf>
    <xf numFmtId="182" fontId="38" fillId="0" borderId="0" xfId="0" applyNumberFormat="1" applyFont="1" applyFill="1" applyBorder="1" applyAlignment="1" applyProtection="1">
      <alignment vertical="top"/>
      <protection hidden="1"/>
    </xf>
    <xf numFmtId="49" fontId="38" fillId="0" borderId="0" xfId="0" applyNumberFormat="1" applyFont="1" applyFill="1" applyBorder="1" applyAlignment="1" applyProtection="1">
      <alignment vertical="top"/>
      <protection hidden="1"/>
    </xf>
    <xf numFmtId="14" fontId="38" fillId="0" borderId="0" xfId="0" applyNumberFormat="1" applyFont="1" applyFill="1" applyBorder="1" applyAlignment="1" applyProtection="1">
      <alignment vertical="top"/>
      <protection hidden="1"/>
    </xf>
    <xf numFmtId="0" fontId="38" fillId="0" borderId="16" xfId="0" applyFont="1" applyFill="1" applyBorder="1" applyAlignment="1" applyProtection="1">
      <alignment vertical="top"/>
      <protection hidden="1"/>
    </xf>
    <xf numFmtId="182" fontId="38" fillId="0" borderId="16" xfId="0" applyNumberFormat="1" applyFont="1" applyFill="1" applyBorder="1" applyAlignment="1" applyProtection="1">
      <alignment vertical="top"/>
      <protection hidden="1"/>
    </xf>
    <xf numFmtId="49" fontId="38" fillId="0" borderId="16" xfId="0" applyNumberFormat="1" applyFont="1" applyFill="1" applyBorder="1" applyAlignment="1" applyProtection="1">
      <alignment vertical="top"/>
      <protection hidden="1"/>
    </xf>
    <xf numFmtId="14" fontId="38" fillId="0" borderId="16" xfId="0" applyNumberFormat="1" applyFont="1" applyFill="1" applyBorder="1" applyAlignment="1" applyProtection="1">
      <alignment vertical="top"/>
      <protection hidden="1"/>
    </xf>
    <xf numFmtId="0" fontId="0" fillId="0" borderId="35" xfId="0" applyNumberFormat="1" applyFill="1" applyBorder="1" applyAlignment="1" applyProtection="1">
      <alignment horizontal="center"/>
      <protection hidden="1"/>
    </xf>
    <xf numFmtId="0" fontId="0" fillId="0" borderId="36" xfId="0" applyNumberFormat="1" applyFill="1" applyBorder="1" applyAlignment="1" applyProtection="1">
      <alignment horizontal="center"/>
      <protection hidden="1"/>
    </xf>
    <xf numFmtId="0" fontId="0" fillId="0" borderId="0" xfId="0" applyNumberFormat="1" applyAlignment="1" applyProtection="1">
      <alignment/>
      <protection hidden="1"/>
    </xf>
    <xf numFmtId="0" fontId="0" fillId="0" borderId="32"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14" xfId="0" applyFill="1" applyBorder="1" applyAlignment="1" applyProtection="1">
      <alignment horizontal="center" vertical="center" wrapText="1"/>
      <protection hidden="1"/>
    </xf>
    <xf numFmtId="182" fontId="0" fillId="0" borderId="23" xfId="0" applyNumberFormat="1" applyFill="1" applyBorder="1" applyAlignment="1" applyProtection="1">
      <alignment horizontal="center" vertical="center"/>
      <protection hidden="1"/>
    </xf>
    <xf numFmtId="182" fontId="0" fillId="0" borderId="37" xfId="0" applyNumberFormat="1" applyFill="1" applyBorder="1" applyAlignment="1" applyProtection="1">
      <alignment horizontal="center" vertical="center"/>
      <protection hidden="1"/>
    </xf>
    <xf numFmtId="182" fontId="0" fillId="0" borderId="14" xfId="0" applyNumberFormat="1" applyFill="1" applyBorder="1" applyAlignment="1" applyProtection="1">
      <alignment horizontal="center" vertical="center"/>
      <protection hidden="1"/>
    </xf>
    <xf numFmtId="182" fontId="0" fillId="0" borderId="26" xfId="0" applyNumberFormat="1" applyFill="1" applyBorder="1" applyAlignment="1" applyProtection="1">
      <alignment horizontal="center"/>
      <protection hidden="1"/>
    </xf>
    <xf numFmtId="182" fontId="0" fillId="0" borderId="23" xfId="0" applyNumberFormat="1" applyFill="1" applyBorder="1" applyAlignment="1" applyProtection="1">
      <alignment horizontal="center"/>
      <protection hidden="1"/>
    </xf>
    <xf numFmtId="49" fontId="0" fillId="0" borderId="38" xfId="0" applyNumberFormat="1" applyFill="1" applyBorder="1" applyAlignment="1" applyProtection="1">
      <alignment horizontal="center"/>
      <protection hidden="1"/>
    </xf>
    <xf numFmtId="14" fontId="0" fillId="0" borderId="26" xfId="0" applyNumberFormat="1" applyFill="1" applyBorder="1" applyAlignment="1" applyProtection="1">
      <alignment horizontal="center"/>
      <protection hidden="1"/>
    </xf>
    <xf numFmtId="182" fontId="0" fillId="0" borderId="14" xfId="0" applyNumberFormat="1" applyFill="1" applyBorder="1" applyAlignment="1" applyProtection="1">
      <alignment horizontal="center"/>
      <protection hidden="1"/>
    </xf>
    <xf numFmtId="49" fontId="0" fillId="0" borderId="14" xfId="0" applyNumberFormat="1" applyFill="1" applyBorder="1" applyAlignment="1" applyProtection="1">
      <alignment horizontal="center"/>
      <protection hidden="1"/>
    </xf>
    <xf numFmtId="0" fontId="0" fillId="0" borderId="39"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29" xfId="0" applyFill="1" applyBorder="1" applyAlignment="1" applyProtection="1">
      <alignment shrinkToFit="1"/>
      <protection locked="0"/>
    </xf>
    <xf numFmtId="182" fontId="0" fillId="0" borderId="29" xfId="0" applyNumberFormat="1" applyFill="1" applyBorder="1" applyAlignment="1" applyProtection="1">
      <alignment shrinkToFit="1"/>
      <protection locked="0"/>
    </xf>
    <xf numFmtId="182" fontId="0" fillId="0" borderId="29" xfId="0" applyNumberFormat="1" applyFill="1" applyBorder="1" applyAlignment="1" applyProtection="1">
      <alignment/>
      <protection locked="0"/>
    </xf>
    <xf numFmtId="182" fontId="0" fillId="0" borderId="40" xfId="0" applyNumberFormat="1" applyFill="1" applyBorder="1" applyAlignment="1" applyProtection="1">
      <alignment/>
      <protection locked="0"/>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locked="0"/>
    </xf>
    <xf numFmtId="49" fontId="0" fillId="0" borderId="43" xfId="0" applyNumberFormat="1" applyFill="1" applyBorder="1" applyAlignment="1" applyProtection="1">
      <alignment/>
      <protection locked="0"/>
    </xf>
    <xf numFmtId="14" fontId="0" fillId="0" borderId="29" xfId="0" applyNumberFormat="1" applyFill="1" applyBorder="1" applyAlignment="1" applyProtection="1">
      <alignment horizontal="center"/>
      <protection locked="0"/>
    </xf>
    <xf numFmtId="49" fontId="0" fillId="0" borderId="0" xfId="0" applyNumberFormat="1" applyFill="1" applyAlignment="1" applyProtection="1">
      <alignment/>
      <protection locked="0"/>
    </xf>
    <xf numFmtId="182" fontId="0" fillId="0" borderId="25"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0" fillId="0" borderId="32" xfId="0"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44" xfId="0" applyNumberFormat="1" applyFill="1" applyBorder="1" applyAlignment="1" applyProtection="1">
      <alignment/>
      <protection locked="0"/>
    </xf>
    <xf numFmtId="182" fontId="0" fillId="0" borderId="45" xfId="0" applyNumberFormat="1" applyFill="1" applyBorder="1" applyAlignment="1" applyProtection="1">
      <alignment/>
      <protection hidden="1"/>
    </xf>
    <xf numFmtId="49" fontId="0" fillId="0" borderId="46" xfId="0" applyNumberFormat="1" applyFill="1" applyBorder="1" applyAlignment="1" applyProtection="1">
      <alignment/>
      <protection locked="0"/>
    </xf>
    <xf numFmtId="14" fontId="0" fillId="0" borderId="32" xfId="0" applyNumberFormat="1" applyFill="1" applyBorder="1" applyAlignment="1" applyProtection="1">
      <alignment horizontal="center"/>
      <protection locked="0"/>
    </xf>
    <xf numFmtId="49" fontId="0" fillId="0" borderId="0" xfId="0" applyNumberFormat="1" applyFill="1" applyBorder="1" applyAlignment="1" applyProtection="1">
      <alignment/>
      <protection locked="0"/>
    </xf>
    <xf numFmtId="0" fontId="0" fillId="0" borderId="47" xfId="0" applyFill="1" applyBorder="1" applyAlignment="1" applyProtection="1">
      <alignment/>
      <protection locked="0"/>
    </xf>
    <xf numFmtId="182" fontId="0" fillId="0" borderId="47" xfId="0" applyNumberFormat="1" applyFill="1" applyBorder="1" applyAlignment="1" applyProtection="1">
      <alignment/>
      <protection locked="0"/>
    </xf>
    <xf numFmtId="0" fontId="0" fillId="0" borderId="48" xfId="0" applyFill="1" applyBorder="1" applyAlignment="1" applyProtection="1">
      <alignment/>
      <protection hidden="1"/>
    </xf>
    <xf numFmtId="0" fontId="0" fillId="0" borderId="49" xfId="0" applyFill="1" applyBorder="1" applyAlignment="1" applyProtection="1">
      <alignment/>
      <protection hidden="1"/>
    </xf>
    <xf numFmtId="0" fontId="0" fillId="0" borderId="0" xfId="0" applyFill="1" applyBorder="1" applyAlignment="1" applyProtection="1">
      <alignment/>
      <protection hidden="1"/>
    </xf>
    <xf numFmtId="182" fontId="0" fillId="0" borderId="50" xfId="0" applyNumberFormat="1" applyFill="1" applyBorder="1" applyAlignment="1" applyProtection="1">
      <alignment/>
      <protection hidden="1"/>
    </xf>
    <xf numFmtId="0" fontId="0" fillId="0" borderId="32" xfId="0" applyFill="1" applyBorder="1" applyAlignment="1" applyProtection="1">
      <alignment/>
      <protection hidden="1"/>
    </xf>
    <xf numFmtId="182" fontId="0" fillId="0" borderId="51" xfId="0" applyNumberFormat="1" applyFill="1" applyBorder="1" applyAlignment="1" applyProtection="1">
      <alignment/>
      <protection hidden="1"/>
    </xf>
    <xf numFmtId="182" fontId="0" fillId="0" borderId="52" xfId="0" applyNumberFormat="1" applyFill="1" applyBorder="1" applyAlignment="1" applyProtection="1">
      <alignment/>
      <protection hidden="1"/>
    </xf>
    <xf numFmtId="49" fontId="0" fillId="0" borderId="53" xfId="0" applyNumberFormat="1" applyFill="1" applyBorder="1" applyAlignment="1" applyProtection="1">
      <alignment/>
      <protection hidden="1"/>
    </xf>
    <xf numFmtId="14" fontId="0" fillId="0" borderId="54" xfId="0" applyNumberFormat="1" applyFill="1" applyBorder="1" applyAlignment="1" applyProtection="1">
      <alignment horizontal="center"/>
      <protection hidden="1"/>
    </xf>
    <xf numFmtId="182" fontId="0" fillId="0" borderId="54" xfId="0" applyNumberFormat="1" applyFill="1" applyBorder="1" applyAlignment="1" applyProtection="1">
      <alignment/>
      <protection hidden="1"/>
    </xf>
    <xf numFmtId="49" fontId="0" fillId="0" borderId="49" xfId="0" applyNumberFormat="1" applyFill="1" applyBorder="1" applyAlignment="1" applyProtection="1">
      <alignment/>
      <protection hidden="1"/>
    </xf>
    <xf numFmtId="0" fontId="0" fillId="0" borderId="55" xfId="0" applyFill="1" applyBorder="1" applyAlignment="1" applyProtection="1">
      <alignment/>
      <protection hidden="1"/>
    </xf>
    <xf numFmtId="0" fontId="0" fillId="0" borderId="56" xfId="0" applyFill="1" applyBorder="1" applyAlignment="1" applyProtection="1">
      <alignment/>
      <protection hidden="1"/>
    </xf>
    <xf numFmtId="182" fontId="0" fillId="0" borderId="28" xfId="0" applyNumberFormat="1" applyFill="1" applyBorder="1" applyAlignment="1" applyProtection="1">
      <alignment/>
      <protection hidden="1"/>
    </xf>
    <xf numFmtId="0" fontId="0" fillId="0" borderId="28" xfId="0" applyFill="1" applyBorder="1" applyAlignment="1" applyProtection="1">
      <alignment/>
      <protection hidden="1"/>
    </xf>
    <xf numFmtId="182" fontId="0" fillId="0" borderId="25" xfId="0" applyNumberFormat="1" applyFill="1" applyBorder="1" applyAlignment="1" applyProtection="1">
      <alignment/>
      <protection hidden="1"/>
    </xf>
    <xf numFmtId="182" fontId="0" fillId="0" borderId="44" xfId="0" applyNumberFormat="1" applyFill="1" applyBorder="1" applyAlignment="1" applyProtection="1">
      <alignment/>
      <protection hidden="1"/>
    </xf>
    <xf numFmtId="182" fontId="0" fillId="0" borderId="5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182" fontId="0" fillId="0" borderId="30" xfId="0" applyNumberFormat="1" applyFill="1" applyBorder="1" applyAlignment="1" applyProtection="1">
      <alignment/>
      <protection hidden="1"/>
    </xf>
    <xf numFmtId="49" fontId="0" fillId="0" borderId="5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49" fontId="0" fillId="0" borderId="0"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9" xfId="0" applyFill="1" applyBorder="1" applyAlignment="1" applyProtection="1">
      <alignment/>
      <protection locked="0"/>
    </xf>
    <xf numFmtId="0" fontId="0" fillId="0" borderId="33" xfId="0" applyFill="1" applyBorder="1" applyAlignment="1" applyProtection="1">
      <alignment/>
      <protection hidden="1"/>
    </xf>
    <xf numFmtId="0" fontId="0" fillId="0" borderId="47" xfId="0" applyFill="1" applyBorder="1" applyAlignment="1" applyProtection="1">
      <alignment/>
      <protection hidden="1"/>
    </xf>
    <xf numFmtId="182" fontId="0" fillId="0" borderId="32" xfId="0" applyNumberFormat="1" applyFill="1" applyBorder="1" applyAlignment="1" applyProtection="1">
      <alignment/>
      <protection hidden="1"/>
    </xf>
    <xf numFmtId="49" fontId="0" fillId="0" borderId="46"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0" fontId="39" fillId="0" borderId="39" xfId="0" applyFont="1" applyFill="1" applyBorder="1" applyAlignment="1" applyProtection="1">
      <alignment/>
      <protection locked="0"/>
    </xf>
    <xf numFmtId="0" fontId="0" fillId="0" borderId="0" xfId="0" applyFill="1" applyBorder="1" applyAlignment="1" applyProtection="1">
      <alignment/>
      <protection locked="0"/>
    </xf>
    <xf numFmtId="0" fontId="0" fillId="0" borderId="29" xfId="0" applyFill="1" applyBorder="1" applyAlignment="1" applyProtection="1">
      <alignment/>
      <protection locked="0"/>
    </xf>
    <xf numFmtId="182" fontId="0" fillId="0" borderId="29" xfId="0" applyNumberFormat="1" applyFill="1" applyBorder="1" applyAlignment="1" applyProtection="1">
      <alignment/>
      <protection locked="0"/>
    </xf>
    <xf numFmtId="182" fontId="0" fillId="0" borderId="40" xfId="0" applyNumberFormat="1" applyFill="1" applyBorder="1" applyAlignment="1" applyProtection="1">
      <alignment/>
      <protection locked="0"/>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locked="0"/>
    </xf>
    <xf numFmtId="49" fontId="0" fillId="0" borderId="43" xfId="0" applyNumberFormat="1" applyFill="1" applyBorder="1" applyAlignment="1" applyProtection="1">
      <alignment/>
      <protection locked="0"/>
    </xf>
    <xf numFmtId="49" fontId="0" fillId="0" borderId="34" xfId="0" applyNumberFormat="1" applyFill="1" applyBorder="1" applyAlignment="1" applyProtection="1">
      <alignment/>
      <protection locked="0"/>
    </xf>
    <xf numFmtId="0" fontId="0" fillId="0" borderId="59" xfId="0" applyFill="1" applyBorder="1" applyAlignment="1" applyProtection="1">
      <alignment/>
      <protection locked="0"/>
    </xf>
    <xf numFmtId="0" fontId="39" fillId="0" borderId="33" xfId="0" applyFont="1" applyFill="1" applyBorder="1" applyAlignment="1" applyProtection="1">
      <alignment/>
      <protection locked="0"/>
    </xf>
    <xf numFmtId="0" fontId="0" fillId="0" borderId="32" xfId="0"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44" xfId="0" applyNumberFormat="1" applyFill="1" applyBorder="1" applyAlignment="1" applyProtection="1">
      <alignment/>
      <protection locked="0"/>
    </xf>
    <xf numFmtId="182" fontId="0" fillId="0" borderId="45" xfId="0" applyNumberFormat="1" applyFill="1" applyBorder="1" applyAlignment="1" applyProtection="1">
      <alignment/>
      <protection hidden="1"/>
    </xf>
    <xf numFmtId="182" fontId="0" fillId="0" borderId="25" xfId="0" applyNumberFormat="1" applyFill="1" applyBorder="1" applyAlignment="1" applyProtection="1">
      <alignment/>
      <protection locked="0"/>
    </xf>
    <xf numFmtId="49" fontId="0" fillId="0" borderId="46"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0" fontId="0" fillId="0" borderId="13" xfId="0" applyFill="1" applyBorder="1" applyAlignment="1" applyProtection="1">
      <alignment/>
      <protection locked="0"/>
    </xf>
    <xf numFmtId="49" fontId="0" fillId="0" borderId="60"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61" xfId="0" applyNumberFormat="1" applyFill="1" applyBorder="1" applyAlignment="1" applyProtection="1">
      <alignment/>
      <protection hidden="1"/>
    </xf>
    <xf numFmtId="182" fontId="0" fillId="0" borderId="0" xfId="0" applyNumberFormat="1" applyFill="1" applyBorder="1" applyAlignment="1" applyProtection="1">
      <alignment/>
      <protection locked="0"/>
    </xf>
    <xf numFmtId="182" fontId="0" fillId="0" borderId="62" xfId="0" applyNumberFormat="1" applyFill="1" applyBorder="1" applyAlignment="1" applyProtection="1">
      <alignment/>
      <protection hidden="1"/>
    </xf>
    <xf numFmtId="0" fontId="0" fillId="0" borderId="12" xfId="0" applyFill="1" applyBorder="1" applyAlignment="1" applyProtection="1">
      <alignment/>
      <protection hidden="1"/>
    </xf>
    <xf numFmtId="0" fontId="21" fillId="0" borderId="63" xfId="0" applyFont="1" applyFill="1" applyBorder="1" applyAlignment="1" applyProtection="1">
      <alignment horizontal="right"/>
      <protection hidden="1"/>
    </xf>
    <xf numFmtId="182" fontId="39" fillId="0" borderId="64" xfId="0" applyNumberFormat="1" applyFont="1" applyFill="1" applyBorder="1" applyAlignment="1" applyProtection="1">
      <alignment/>
      <protection hidden="1"/>
    </xf>
    <xf numFmtId="182" fontId="39" fillId="0" borderId="65" xfId="0" applyNumberFormat="1" applyFont="1" applyFill="1" applyBorder="1" applyAlignment="1" applyProtection="1">
      <alignment/>
      <protection hidden="1"/>
    </xf>
    <xf numFmtId="182" fontId="39" fillId="0" borderId="66" xfId="0" applyNumberFormat="1" applyFont="1" applyFill="1" applyBorder="1" applyAlignment="1" applyProtection="1">
      <alignment/>
      <protection hidden="1"/>
    </xf>
    <xf numFmtId="182" fontId="39" fillId="0" borderId="67" xfId="0" applyNumberFormat="1" applyFont="1" applyFill="1" applyBorder="1" applyAlignment="1" applyProtection="1">
      <alignment/>
      <protection hidden="1"/>
    </xf>
    <xf numFmtId="49" fontId="0" fillId="38" borderId="68" xfId="0" applyNumberFormat="1" applyFill="1" applyBorder="1" applyAlignment="1" applyProtection="1">
      <alignment/>
      <protection hidden="1"/>
    </xf>
    <xf numFmtId="14" fontId="0" fillId="38" borderId="49" xfId="0" applyNumberFormat="1" applyFill="1" applyBorder="1" applyAlignment="1" applyProtection="1">
      <alignment horizontal="center"/>
      <protection hidden="1"/>
    </xf>
    <xf numFmtId="182" fontId="0" fillId="38" borderId="49" xfId="0" applyNumberFormat="1" applyFill="1" applyBorder="1" applyAlignment="1" applyProtection="1">
      <alignment/>
      <protection hidden="1"/>
    </xf>
    <xf numFmtId="49" fontId="0" fillId="38" borderId="49" xfId="0" applyNumberFormat="1" applyFill="1" applyBorder="1" applyAlignment="1" applyProtection="1">
      <alignment/>
      <protection hidden="1"/>
    </xf>
    <xf numFmtId="0" fontId="0" fillId="38" borderId="55" xfId="0" applyFill="1" applyBorder="1" applyAlignment="1" applyProtection="1">
      <alignment/>
      <protection hidden="1"/>
    </xf>
    <xf numFmtId="0" fontId="2" fillId="0" borderId="48" xfId="0" applyFont="1" applyFill="1" applyBorder="1" applyAlignment="1" applyProtection="1">
      <alignment/>
      <protection hidden="1"/>
    </xf>
    <xf numFmtId="0" fontId="2" fillId="0" borderId="49" xfId="0" applyFont="1" applyFill="1" applyBorder="1" applyAlignment="1" applyProtection="1">
      <alignment/>
      <protection hidden="1"/>
    </xf>
    <xf numFmtId="182" fontId="39" fillId="0" borderId="69" xfId="0" applyNumberFormat="1" applyFont="1" applyFill="1" applyBorder="1" applyAlignment="1" applyProtection="1">
      <alignment/>
      <protection hidden="1"/>
    </xf>
    <xf numFmtId="49" fontId="0" fillId="38" borderId="70" xfId="0" applyNumberFormat="1" applyFill="1" applyBorder="1" applyAlignment="1" applyProtection="1">
      <alignment/>
      <protection hidden="1"/>
    </xf>
    <xf numFmtId="14" fontId="0" fillId="38" borderId="0" xfId="0" applyNumberFormat="1" applyFill="1" applyBorder="1" applyAlignment="1" applyProtection="1">
      <alignment horizontal="center"/>
      <protection hidden="1"/>
    </xf>
    <xf numFmtId="182" fontId="0" fillId="38" borderId="0" xfId="0" applyNumberFormat="1" applyFill="1" applyBorder="1" applyAlignment="1" applyProtection="1">
      <alignment/>
      <protection hidden="1"/>
    </xf>
    <xf numFmtId="49" fontId="0" fillId="38" borderId="0" xfId="0" applyNumberFormat="1" applyFill="1" applyBorder="1" applyAlignment="1" applyProtection="1">
      <alignment/>
      <protection hidden="1"/>
    </xf>
    <xf numFmtId="0" fontId="0" fillId="38" borderId="13" xfId="0" applyFill="1" applyBorder="1" applyAlignment="1" applyProtection="1">
      <alignment/>
      <protection hidden="1"/>
    </xf>
    <xf numFmtId="0" fontId="2" fillId="0" borderId="16" xfId="0" applyFont="1" applyFill="1" applyBorder="1" applyAlignment="1" applyProtection="1">
      <alignment horizontal="right"/>
      <protection hidden="1"/>
    </xf>
    <xf numFmtId="182" fontId="2" fillId="0" borderId="71" xfId="0" applyNumberFormat="1" applyFont="1" applyFill="1" applyBorder="1" applyAlignment="1" applyProtection="1">
      <alignment/>
      <protection hidden="1"/>
    </xf>
    <xf numFmtId="49" fontId="0" fillId="38" borderId="72" xfId="0" applyNumberFormat="1" applyFill="1" applyBorder="1" applyAlignment="1" applyProtection="1">
      <alignment/>
      <protection hidden="1"/>
    </xf>
    <xf numFmtId="14" fontId="0" fillId="38" borderId="16" xfId="0" applyNumberFormat="1" applyFill="1" applyBorder="1" applyAlignment="1" applyProtection="1">
      <alignment horizontal="center"/>
      <protection hidden="1"/>
    </xf>
    <xf numFmtId="182" fontId="0" fillId="38" borderId="16" xfId="0" applyNumberFormat="1" applyFill="1" applyBorder="1" applyAlignment="1" applyProtection="1">
      <alignment/>
      <protection hidden="1"/>
    </xf>
    <xf numFmtId="49" fontId="0" fillId="38" borderId="16" xfId="0" applyNumberFormat="1" applyFill="1" applyBorder="1" applyAlignment="1" applyProtection="1">
      <alignment/>
      <protection hidden="1"/>
    </xf>
    <xf numFmtId="0" fontId="0" fillId="38" borderId="17" xfId="0" applyFill="1" applyBorder="1" applyAlignment="1" applyProtection="1">
      <alignment/>
      <protection hidden="1"/>
    </xf>
    <xf numFmtId="0" fontId="0" fillId="0" borderId="0" xfId="0" applyAlignment="1" applyProtection="1">
      <alignment vertical="center" textRotation="90"/>
      <protection hidden="1"/>
    </xf>
    <xf numFmtId="0" fontId="0" fillId="0" borderId="0" xfId="0" applyAlignment="1">
      <alignment vertical="center" textRotation="90"/>
    </xf>
    <xf numFmtId="0" fontId="13" fillId="0" borderId="0" xfId="0" applyFont="1" applyBorder="1" applyAlignment="1">
      <alignment/>
    </xf>
    <xf numFmtId="0" fontId="104" fillId="0" borderId="0" xfId="0" applyFont="1" applyAlignment="1" applyProtection="1">
      <alignment/>
      <protection hidden="1"/>
    </xf>
    <xf numFmtId="0" fontId="0" fillId="0" borderId="0" xfId="0" applyBorder="1" applyAlignment="1" applyProtection="1">
      <alignment/>
      <protection hidden="1" locked="0"/>
    </xf>
    <xf numFmtId="0" fontId="37"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xf>
    <xf numFmtId="0" fontId="13" fillId="33" borderId="0" xfId="0" applyFont="1" applyFill="1" applyBorder="1" applyAlignment="1" applyProtection="1">
      <alignment vertical="center"/>
      <protection/>
    </xf>
    <xf numFmtId="0" fontId="104" fillId="0" borderId="0" xfId="0" applyFont="1" applyAlignment="1" applyProtection="1">
      <alignment/>
      <protection hidden="1" locked="0"/>
    </xf>
    <xf numFmtId="0" fontId="105" fillId="33" borderId="12" xfId="0" applyFont="1" applyFill="1" applyBorder="1" applyAlignment="1" applyProtection="1">
      <alignment vertical="center"/>
      <protection hidden="1"/>
    </xf>
    <xf numFmtId="0" fontId="2" fillId="0" borderId="0" xfId="0" applyFont="1" applyFill="1" applyBorder="1" applyAlignment="1">
      <alignment horizontal="left" vertical="top" wrapText="1" readingOrder="1"/>
    </xf>
    <xf numFmtId="0" fontId="106" fillId="42" borderId="14" xfId="0" applyFont="1" applyFill="1" applyBorder="1" applyAlignment="1" applyProtection="1">
      <alignment horizontal="center"/>
      <protection hidden="1"/>
    </xf>
    <xf numFmtId="0" fontId="29" fillId="0" borderId="0" xfId="55" applyFont="1" applyFill="1" applyBorder="1" applyAlignment="1" applyProtection="1">
      <alignment wrapText="1"/>
      <protection locked="0"/>
    </xf>
    <xf numFmtId="0" fontId="29" fillId="0" borderId="0" xfId="55" applyFont="1" applyFill="1" applyBorder="1" applyAlignment="1">
      <alignment wrapText="1"/>
      <protection/>
    </xf>
    <xf numFmtId="4" fontId="29" fillId="0" borderId="0" xfId="55" applyNumberFormat="1" applyFont="1" applyFill="1" applyBorder="1" applyAlignment="1" applyProtection="1">
      <alignment horizontal="right" wrapText="1"/>
      <protection locked="0"/>
    </xf>
    <xf numFmtId="0" fontId="29" fillId="0" borderId="0" xfId="55" applyFont="1" applyFill="1" applyBorder="1" applyAlignment="1" applyProtection="1">
      <alignment horizontal="right" wrapText="1"/>
      <protection locked="0"/>
    </xf>
    <xf numFmtId="0" fontId="0" fillId="0" borderId="0" xfId="0" applyAlignment="1" applyProtection="1">
      <alignment horizontal="center"/>
      <protection hidden="1"/>
    </xf>
    <xf numFmtId="0" fontId="0" fillId="37" borderId="24" xfId="0" applyFill="1" applyBorder="1" applyAlignment="1">
      <alignment/>
    </xf>
    <xf numFmtId="0" fontId="0" fillId="37" borderId="0" xfId="0" applyFill="1" applyBorder="1" applyAlignment="1">
      <alignment/>
    </xf>
    <xf numFmtId="0" fontId="0" fillId="37" borderId="0" xfId="0" applyFill="1" applyBorder="1" applyAlignment="1" applyProtection="1">
      <alignment/>
      <protection hidden="1"/>
    </xf>
    <xf numFmtId="0" fontId="6" fillId="0" borderId="14" xfId="0" applyFont="1" applyBorder="1" applyAlignment="1" applyProtection="1">
      <alignment horizontal="center"/>
      <protection locked="0"/>
    </xf>
    <xf numFmtId="0" fontId="0" fillId="40" borderId="0" xfId="0" applyFill="1" applyAlignment="1">
      <alignment/>
    </xf>
    <xf numFmtId="0" fontId="0" fillId="40" borderId="0" xfId="0" applyFill="1" applyAlignment="1" applyProtection="1">
      <alignment/>
      <protection hidden="1"/>
    </xf>
    <xf numFmtId="207" fontId="13" fillId="38" borderId="14" xfId="0" applyNumberFormat="1" applyFont="1" applyFill="1" applyBorder="1" applyAlignment="1" applyProtection="1">
      <alignment horizontal="center"/>
      <protection hidden="1"/>
    </xf>
    <xf numFmtId="0" fontId="32" fillId="0" borderId="0" xfId="0" applyFont="1" applyAlignment="1" applyProtection="1">
      <alignment horizontal="center"/>
      <protection hidden="1"/>
    </xf>
    <xf numFmtId="0" fontId="86" fillId="0" borderId="0" xfId="52">
      <alignment/>
      <protection/>
    </xf>
    <xf numFmtId="0" fontId="0" fillId="0" borderId="0" xfId="53">
      <alignment/>
      <protection/>
    </xf>
    <xf numFmtId="0" fontId="42" fillId="0" borderId="0" xfId="53" applyFont="1" applyAlignment="1">
      <alignment vertical="top" wrapText="1"/>
      <protection/>
    </xf>
    <xf numFmtId="0" fontId="42" fillId="0" borderId="0" xfId="53" applyFont="1">
      <alignment/>
      <protection/>
    </xf>
    <xf numFmtId="0" fontId="107" fillId="0" borderId="0" xfId="52" applyFont="1" applyAlignment="1">
      <alignment vertical="center"/>
      <protection/>
    </xf>
    <xf numFmtId="0" fontId="107" fillId="42" borderId="0" xfId="52" applyFont="1" applyFill="1" applyAlignment="1">
      <alignment vertical="center"/>
      <protection/>
    </xf>
    <xf numFmtId="14" fontId="108" fillId="0" borderId="0" xfId="52" applyNumberFormat="1" applyFont="1" applyAlignment="1">
      <alignment horizontal="right" vertical="top"/>
      <protection/>
    </xf>
    <xf numFmtId="0" fontId="107" fillId="0" borderId="0" xfId="52" applyFont="1" applyAlignment="1">
      <alignment horizontal="left" vertical="center"/>
      <protection/>
    </xf>
    <xf numFmtId="0" fontId="109" fillId="0" borderId="0" xfId="52" applyFont="1" applyAlignment="1">
      <alignment horizontal="left" vertical="top"/>
      <protection/>
    </xf>
    <xf numFmtId="0" fontId="107" fillId="0" borderId="0" xfId="52" applyFont="1">
      <alignment/>
      <protection/>
    </xf>
    <xf numFmtId="0" fontId="110" fillId="0" borderId="0" xfId="52" applyFont="1" applyAlignment="1">
      <alignment vertical="center"/>
      <protection/>
    </xf>
    <xf numFmtId="0" fontId="107" fillId="0" borderId="73" xfId="52" applyFont="1" applyBorder="1">
      <alignment/>
      <protection/>
    </xf>
    <xf numFmtId="0" fontId="107" fillId="0" borderId="74" xfId="52" applyFont="1" applyBorder="1">
      <alignment/>
      <protection/>
    </xf>
    <xf numFmtId="0" fontId="107" fillId="0" borderId="73" xfId="52" applyFont="1" applyBorder="1" applyAlignment="1">
      <alignment vertical="center"/>
      <protection/>
    </xf>
    <xf numFmtId="0" fontId="107" fillId="0" borderId="74" xfId="52" applyFont="1" applyBorder="1" applyAlignment="1">
      <alignment vertical="center"/>
      <protection/>
    </xf>
    <xf numFmtId="0" fontId="110" fillId="0" borderId="0" xfId="52" applyFont="1" applyAlignment="1">
      <alignment vertical="center" wrapText="1"/>
      <protection/>
    </xf>
    <xf numFmtId="0" fontId="2" fillId="0" borderId="0" xfId="53" applyFont="1">
      <alignment/>
      <protection/>
    </xf>
    <xf numFmtId="0" fontId="50" fillId="0" borderId="0" xfId="53" applyFont="1" applyAlignment="1">
      <alignment vertical="center"/>
      <protection/>
    </xf>
    <xf numFmtId="0" fontId="111" fillId="0" borderId="0" xfId="53" applyFont="1" applyAlignment="1">
      <alignment horizontal="left" vertical="center"/>
      <protection/>
    </xf>
    <xf numFmtId="0" fontId="111" fillId="42" borderId="75" xfId="53" applyFont="1" applyFill="1" applyBorder="1" applyAlignment="1">
      <alignment horizontal="left" vertical="center"/>
      <protection/>
    </xf>
    <xf numFmtId="0" fontId="111" fillId="42" borderId="76" xfId="53" applyFont="1" applyFill="1" applyBorder="1" applyAlignment="1">
      <alignment horizontal="left" vertical="center"/>
      <protection/>
    </xf>
    <xf numFmtId="0" fontId="111" fillId="42" borderId="77" xfId="53" applyFont="1" applyFill="1" applyBorder="1" applyAlignment="1">
      <alignment horizontal="left" vertical="center"/>
      <protection/>
    </xf>
    <xf numFmtId="0" fontId="112" fillId="0" borderId="0" xfId="52" applyFont="1">
      <alignment/>
      <protection/>
    </xf>
    <xf numFmtId="0" fontId="35" fillId="0" borderId="0" xfId="52" applyFont="1">
      <alignment/>
      <protection/>
    </xf>
    <xf numFmtId="0" fontId="29" fillId="0" borderId="0" xfId="52" applyFont="1" applyAlignment="1">
      <alignment horizontal="left" vertical="center"/>
      <protection/>
    </xf>
    <xf numFmtId="0" fontId="113" fillId="0" borderId="0" xfId="52" applyFont="1" applyAlignment="1">
      <alignment horizontal="left" vertical="center"/>
      <protection/>
    </xf>
    <xf numFmtId="0" fontId="107" fillId="0" borderId="78" xfId="52" applyFont="1" applyBorder="1" applyAlignment="1">
      <alignment horizontal="left" vertical="center"/>
      <protection/>
    </xf>
    <xf numFmtId="0" fontId="107" fillId="0" borderId="79" xfId="52" applyFont="1" applyBorder="1" applyAlignment="1">
      <alignment horizontal="left" vertical="center"/>
      <protection/>
    </xf>
    <xf numFmtId="0" fontId="107" fillId="0" borderId="80" xfId="52" applyFont="1" applyBorder="1" applyAlignment="1">
      <alignment horizontal="left" vertical="center"/>
      <protection/>
    </xf>
    <xf numFmtId="0" fontId="107" fillId="43" borderId="81" xfId="52" applyFont="1" applyFill="1" applyBorder="1" applyAlignment="1" applyProtection="1">
      <alignment horizontal="left" vertical="center"/>
      <protection locked="0"/>
    </xf>
    <xf numFmtId="0" fontId="107" fillId="44" borderId="81" xfId="52" applyFont="1" applyFill="1" applyBorder="1" applyAlignment="1" applyProtection="1">
      <alignment horizontal="left" vertical="center"/>
      <protection locked="0"/>
    </xf>
    <xf numFmtId="0" fontId="107" fillId="0" borderId="82" xfId="52" applyFont="1" applyBorder="1" applyAlignment="1">
      <alignment horizontal="left" vertical="center"/>
      <protection/>
    </xf>
    <xf numFmtId="0" fontId="110" fillId="0" borderId="0" xfId="52" applyFont="1" applyAlignment="1">
      <alignment horizontal="left" vertical="center"/>
      <protection/>
    </xf>
    <xf numFmtId="0" fontId="110" fillId="45" borderId="83" xfId="52" applyFont="1" applyFill="1" applyBorder="1" applyAlignment="1">
      <alignment horizontal="center"/>
      <protection/>
    </xf>
    <xf numFmtId="0" fontId="111" fillId="42" borderId="83" xfId="52" applyFont="1" applyFill="1" applyBorder="1" applyAlignment="1">
      <alignment vertical="center"/>
      <protection/>
    </xf>
    <xf numFmtId="0" fontId="111" fillId="42" borderId="83" xfId="52" applyFont="1" applyFill="1" applyBorder="1" applyAlignment="1">
      <alignment vertical="center" wrapText="1"/>
      <protection/>
    </xf>
    <xf numFmtId="0" fontId="1" fillId="33" borderId="0" xfId="0" applyFont="1" applyFill="1" applyBorder="1" applyAlignment="1" applyProtection="1">
      <alignment horizontal="center" vertical="center"/>
      <protection/>
    </xf>
    <xf numFmtId="0" fontId="13" fillId="36" borderId="84" xfId="0" applyFont="1" applyFill="1" applyBorder="1" applyAlignment="1">
      <alignment vertical="center" textRotation="90"/>
    </xf>
    <xf numFmtId="0" fontId="13" fillId="36" borderId="85" xfId="0" applyFont="1" applyFill="1" applyBorder="1" applyAlignment="1">
      <alignment vertical="center" textRotation="90"/>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9" xfId="0" applyFont="1" applyFill="1" applyBorder="1" applyAlignment="1">
      <alignment vertical="center"/>
    </xf>
    <xf numFmtId="0" fontId="1" fillId="33" borderId="18" xfId="0" applyFont="1" applyFill="1" applyBorder="1" applyAlignment="1">
      <alignment vertical="center"/>
    </xf>
    <xf numFmtId="0" fontId="3" fillId="33" borderId="12" xfId="0" applyFont="1" applyFill="1" applyBorder="1" applyAlignment="1">
      <alignment vertical="center"/>
    </xf>
    <xf numFmtId="0" fontId="6" fillId="33" borderId="0" xfId="0" applyFont="1" applyFill="1" applyAlignment="1">
      <alignment vertical="center"/>
    </xf>
    <xf numFmtId="0" fontId="1" fillId="33" borderId="0" xfId="0" applyFont="1" applyFill="1" applyAlignment="1">
      <alignment vertical="center"/>
    </xf>
    <xf numFmtId="0" fontId="6" fillId="33" borderId="0" xfId="0" applyFont="1" applyFill="1" applyAlignment="1">
      <alignment horizontal="left" vertical="center" indent="1"/>
    </xf>
    <xf numFmtId="0" fontId="0" fillId="33" borderId="0" xfId="0" applyFont="1" applyFill="1" applyAlignment="1">
      <alignment horizontal="left" vertical="center"/>
    </xf>
    <xf numFmtId="0" fontId="0" fillId="33" borderId="0" xfId="0" applyFont="1" applyFill="1" applyAlignment="1">
      <alignment vertical="center"/>
    </xf>
    <xf numFmtId="0" fontId="1" fillId="33" borderId="13" xfId="0" applyFont="1" applyFill="1" applyBorder="1" applyAlignment="1">
      <alignment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indent="1"/>
    </xf>
    <xf numFmtId="0" fontId="1" fillId="33" borderId="0" xfId="0" applyFont="1" applyFill="1" applyAlignment="1">
      <alignment horizontal="left" vertical="center" indent="2"/>
    </xf>
    <xf numFmtId="0" fontId="1" fillId="33" borderId="0" xfId="0" applyFont="1" applyFill="1" applyAlignment="1">
      <alignment horizontal="centerContinuous" vertical="center"/>
    </xf>
    <xf numFmtId="0" fontId="1" fillId="33" borderId="12" xfId="0" applyFont="1" applyFill="1" applyBorder="1" applyAlignment="1">
      <alignment vertical="center"/>
    </xf>
    <xf numFmtId="0" fontId="6" fillId="33" borderId="0" xfId="0" applyFont="1" applyFill="1" applyAlignment="1">
      <alignment horizontal="right" vertical="center"/>
    </xf>
    <xf numFmtId="0" fontId="0" fillId="33" borderId="0" xfId="0" applyFont="1" applyFill="1" applyAlignment="1" applyProtection="1">
      <alignment horizontal="left" vertical="center"/>
      <protection hidden="1"/>
    </xf>
    <xf numFmtId="0" fontId="0" fillId="0" borderId="0" xfId="0" applyAlignment="1" applyProtection="1">
      <alignment horizontal="center" vertical="center"/>
      <protection hidden="1"/>
    </xf>
    <xf numFmtId="0" fontId="0" fillId="33" borderId="0" xfId="0" applyFont="1" applyFill="1" applyAlignment="1" applyProtection="1">
      <alignment vertical="center"/>
      <protection hidden="1"/>
    </xf>
    <xf numFmtId="0" fontId="1" fillId="33" borderId="0" xfId="0" applyFont="1" applyFill="1" applyAlignment="1" applyProtection="1">
      <alignment horizontal="left" vertical="center" indent="1"/>
      <protection hidden="1"/>
    </xf>
    <xf numFmtId="0" fontId="1" fillId="33" borderId="15" xfId="0" applyFont="1" applyFill="1" applyBorder="1" applyAlignment="1">
      <alignment vertical="center"/>
    </xf>
    <xf numFmtId="0" fontId="6" fillId="33" borderId="11" xfId="0" applyFont="1" applyFill="1" applyBorder="1" applyAlignment="1">
      <alignment vertical="center"/>
    </xf>
    <xf numFmtId="0" fontId="0" fillId="33" borderId="0" xfId="0" applyFont="1" applyFill="1" applyAlignment="1" applyProtection="1">
      <alignment horizontal="left" vertical="center"/>
      <protection hidden="1"/>
    </xf>
    <xf numFmtId="0" fontId="6" fillId="33" borderId="0" xfId="0" applyFont="1" applyFill="1" applyAlignment="1" applyProtection="1">
      <alignment horizontal="left" vertical="center" indent="1"/>
      <protection hidden="1"/>
    </xf>
    <xf numFmtId="0" fontId="0" fillId="33" borderId="0" xfId="0" applyFont="1" applyFill="1" applyAlignment="1" applyProtection="1">
      <alignment horizontal="center" vertical="center"/>
      <protection hidden="1"/>
    </xf>
    <xf numFmtId="0" fontId="7" fillId="33" borderId="0" xfId="0" applyFont="1" applyFill="1" applyAlignment="1" applyProtection="1">
      <alignment horizontal="center" vertical="center"/>
      <protection hidden="1"/>
    </xf>
    <xf numFmtId="0" fontId="11" fillId="33" borderId="0" xfId="0" applyFont="1" applyFill="1" applyAlignment="1" applyProtection="1">
      <alignment horizontal="center"/>
      <protection hidden="1"/>
    </xf>
    <xf numFmtId="0" fontId="0" fillId="33" borderId="0" xfId="0" applyFont="1" applyFill="1" applyAlignment="1" applyProtection="1">
      <alignment vertical="center"/>
      <protection hidden="1"/>
    </xf>
    <xf numFmtId="0" fontId="6" fillId="0" borderId="0" xfId="0" applyFont="1" applyAlignment="1">
      <alignment/>
    </xf>
    <xf numFmtId="0" fontId="6" fillId="33" borderId="0" xfId="0" applyFont="1" applyFill="1" applyAlignment="1">
      <alignment/>
    </xf>
    <xf numFmtId="0" fontId="1" fillId="33" borderId="0" xfId="0" applyFont="1" applyFill="1" applyAlignment="1">
      <alignment/>
    </xf>
    <xf numFmtId="0" fontId="1" fillId="33" borderId="0" xfId="0" applyFont="1" applyFill="1" applyAlignment="1">
      <alignment horizontal="left"/>
    </xf>
    <xf numFmtId="0" fontId="11" fillId="33" borderId="0" xfId="0" applyFont="1" applyFill="1" applyAlignment="1">
      <alignment horizontal="center"/>
    </xf>
    <xf numFmtId="0" fontId="6" fillId="33" borderId="0" xfId="0" applyFont="1" applyFill="1" applyAlignment="1" applyProtection="1">
      <alignment horizontal="center" vertical="center"/>
      <protection hidden="1"/>
    </xf>
    <xf numFmtId="0" fontId="0" fillId="33" borderId="0" xfId="0" applyFont="1" applyFill="1" applyAlignment="1">
      <alignment horizontal="left" vertical="center"/>
    </xf>
    <xf numFmtId="0" fontId="6" fillId="33" borderId="0" xfId="0" applyFont="1" applyFill="1" applyAlignment="1" applyProtection="1">
      <alignment vertical="center"/>
      <protection hidden="1"/>
    </xf>
    <xf numFmtId="0" fontId="6" fillId="33" borderId="0" xfId="0" applyFont="1" applyFill="1" applyAlignment="1" applyProtection="1">
      <alignment horizontal="right" vertical="center"/>
      <protection hidden="1"/>
    </xf>
    <xf numFmtId="0" fontId="1" fillId="33" borderId="16" xfId="0" applyFont="1" applyFill="1" applyBorder="1" applyAlignment="1">
      <alignment/>
    </xf>
    <xf numFmtId="0" fontId="1" fillId="33" borderId="16" xfId="0" applyFont="1" applyFill="1" applyBorder="1" applyAlignment="1">
      <alignment horizontal="right"/>
    </xf>
    <xf numFmtId="0" fontId="6" fillId="33" borderId="16" xfId="0" applyFont="1" applyFill="1" applyBorder="1" applyAlignment="1">
      <alignment/>
    </xf>
    <xf numFmtId="0" fontId="1" fillId="33" borderId="16" xfId="0" applyFont="1" applyFill="1" applyBorder="1" applyAlignment="1">
      <alignment vertical="center"/>
    </xf>
    <xf numFmtId="0" fontId="1" fillId="33" borderId="17" xfId="0" applyFont="1" applyFill="1" applyBorder="1" applyAlignment="1">
      <alignment vertical="center"/>
    </xf>
    <xf numFmtId="0" fontId="107" fillId="0" borderId="79" xfId="52" applyFont="1" applyBorder="1" applyAlignment="1">
      <alignment vertical="center"/>
      <protection/>
    </xf>
    <xf numFmtId="0" fontId="107" fillId="0" borderId="78" xfId="52" applyFont="1" applyBorder="1" applyAlignment="1">
      <alignment vertical="center"/>
      <protection/>
    </xf>
    <xf numFmtId="0" fontId="107" fillId="0" borderId="86" xfId="52" applyFont="1" applyBorder="1" applyAlignment="1">
      <alignment vertical="center"/>
      <protection/>
    </xf>
    <xf numFmtId="0" fontId="107" fillId="0" borderId="87" xfId="52" applyFont="1" applyBorder="1" applyAlignment="1">
      <alignment vertical="center"/>
      <protection/>
    </xf>
    <xf numFmtId="0" fontId="107" fillId="0" borderId="0" xfId="52" applyFont="1" applyAlignment="1">
      <alignment horizontal="left" vertical="center"/>
      <protection/>
    </xf>
    <xf numFmtId="0" fontId="29" fillId="0" borderId="0" xfId="52" applyFont="1" applyBorder="1" applyAlignment="1">
      <alignment vertical="center"/>
      <protection/>
    </xf>
    <xf numFmtId="0" fontId="0" fillId="43" borderId="81" xfId="0" applyFont="1" applyFill="1" applyBorder="1" applyAlignment="1" applyProtection="1">
      <alignment vertical="center"/>
      <protection locked="0"/>
    </xf>
    <xf numFmtId="0" fontId="107" fillId="0" borderId="0" xfId="52" applyFont="1" applyAlignment="1">
      <alignment horizontal="left" vertical="center"/>
      <protection/>
    </xf>
    <xf numFmtId="0" fontId="107" fillId="0" borderId="0" xfId="52" applyFont="1" applyAlignment="1">
      <alignment vertical="center" wrapText="1"/>
      <protection/>
    </xf>
    <xf numFmtId="0" fontId="107" fillId="0" borderId="88" xfId="52" applyFont="1" applyBorder="1" applyAlignment="1">
      <alignment vertical="center" wrapText="1"/>
      <protection/>
    </xf>
    <xf numFmtId="0" fontId="107" fillId="0" borderId="88" xfId="52" applyFont="1" applyBorder="1" applyAlignment="1">
      <alignment vertical="center"/>
      <protection/>
    </xf>
    <xf numFmtId="0" fontId="107" fillId="0" borderId="0" xfId="52" applyFont="1" applyBorder="1" applyAlignment="1">
      <alignment vertical="center"/>
      <protection/>
    </xf>
    <xf numFmtId="14" fontId="86" fillId="0" borderId="0" xfId="52" applyNumberFormat="1">
      <alignment/>
      <protection/>
    </xf>
    <xf numFmtId="0" fontId="87" fillId="0" borderId="0" xfId="52" applyFont="1">
      <alignment/>
      <protection/>
    </xf>
    <xf numFmtId="0" fontId="107" fillId="0" borderId="0" xfId="52" applyFont="1" applyAlignment="1">
      <alignment horizontal="left" vertical="center"/>
      <protection/>
    </xf>
    <xf numFmtId="0" fontId="107" fillId="0" borderId="79" xfId="52" applyFont="1" applyBorder="1" applyAlignment="1">
      <alignment vertical="center" wrapText="1"/>
      <protection/>
    </xf>
    <xf numFmtId="0" fontId="107" fillId="0" borderId="78" xfId="52" applyFont="1" applyBorder="1" applyAlignment="1">
      <alignment vertical="center" wrapText="1"/>
      <protection/>
    </xf>
    <xf numFmtId="14" fontId="107" fillId="43" borderId="83" xfId="52" applyNumberFormat="1" applyFont="1" applyFill="1" applyBorder="1" applyAlignment="1" applyProtection="1">
      <alignment horizontal="left" vertical="center"/>
      <protection locked="0"/>
    </xf>
    <xf numFmtId="0" fontId="107" fillId="43" borderId="89" xfId="52" applyFont="1" applyFill="1" applyBorder="1" applyAlignment="1" applyProtection="1">
      <alignment/>
      <protection locked="0"/>
    </xf>
    <xf numFmtId="0" fontId="107" fillId="43" borderId="90" xfId="52" applyFont="1" applyFill="1" applyBorder="1" applyAlignment="1" applyProtection="1">
      <alignment/>
      <protection locked="0"/>
    </xf>
    <xf numFmtId="0" fontId="107" fillId="43" borderId="91" xfId="52" applyFont="1" applyFill="1" applyBorder="1" applyAlignment="1" applyProtection="1">
      <alignment/>
      <protection locked="0"/>
    </xf>
    <xf numFmtId="0" fontId="37" fillId="0" borderId="0" xfId="52" applyFont="1">
      <alignment/>
      <protection/>
    </xf>
    <xf numFmtId="0" fontId="107" fillId="0" borderId="0" xfId="52" applyFont="1" applyFill="1" applyBorder="1" applyAlignment="1">
      <alignment vertical="center"/>
      <protection/>
    </xf>
    <xf numFmtId="176" fontId="107" fillId="43" borderId="83" xfId="52" applyNumberFormat="1" applyFont="1" applyFill="1" applyBorder="1" applyAlignment="1" applyProtection="1">
      <alignment horizontal="center"/>
      <protection locked="0"/>
    </xf>
    <xf numFmtId="0" fontId="107" fillId="0" borderId="0" xfId="52" applyFont="1" applyAlignment="1">
      <alignment horizontal="left" vertical="center"/>
      <protection/>
    </xf>
    <xf numFmtId="0" fontId="107" fillId="0" borderId="82" xfId="52" applyFont="1" applyBorder="1" applyAlignment="1">
      <alignment vertical="center"/>
      <protection/>
    </xf>
    <xf numFmtId="4" fontId="0" fillId="0" borderId="81" xfId="52" applyNumberFormat="1" applyFont="1" applyBorder="1" applyAlignment="1" applyProtection="1">
      <alignment horizontal="center" vertical="center"/>
      <protection hidden="1"/>
    </xf>
    <xf numFmtId="0" fontId="29" fillId="0" borderId="80" xfId="52" applyFont="1" applyFill="1" applyBorder="1" applyAlignment="1">
      <alignment vertical="center"/>
      <protection/>
    </xf>
    <xf numFmtId="0" fontId="29" fillId="0" borderId="92" xfId="52" applyFont="1" applyFill="1" applyBorder="1" applyAlignment="1">
      <alignment horizontal="left" vertical="center"/>
      <protection/>
    </xf>
    <xf numFmtId="0" fontId="29" fillId="0" borderId="92" xfId="52" applyFont="1" applyFill="1" applyBorder="1" applyAlignment="1">
      <alignment vertical="center"/>
      <protection/>
    </xf>
    <xf numFmtId="0" fontId="107" fillId="0" borderId="93" xfId="52" applyFont="1" applyFill="1" applyBorder="1" applyAlignment="1">
      <alignment vertical="center"/>
      <protection/>
    </xf>
    <xf numFmtId="0" fontId="29" fillId="0" borderId="79" xfId="52" applyFont="1" applyFill="1" applyBorder="1" applyAlignment="1">
      <alignment vertical="center"/>
      <protection/>
    </xf>
    <xf numFmtId="0" fontId="107" fillId="0" borderId="0" xfId="52" applyFont="1" applyAlignment="1">
      <alignment horizontal="left" vertical="center" wrapText="1"/>
      <protection/>
    </xf>
    <xf numFmtId="0" fontId="107" fillId="0" borderId="74" xfId="52" applyFont="1" applyBorder="1" applyAlignment="1">
      <alignment horizontal="left" vertical="center"/>
      <protection/>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0" fillId="43" borderId="81" xfId="52" applyFont="1" applyFill="1" applyBorder="1" applyAlignment="1" applyProtection="1">
      <alignment horizontal="left" vertical="center"/>
      <protection locked="0"/>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107" fillId="0" borderId="74" xfId="52" applyFont="1" applyBorder="1" applyAlignment="1">
      <alignment horizontal="left" vertical="center"/>
      <protection/>
    </xf>
    <xf numFmtId="0" fontId="107" fillId="0" borderId="0" xfId="52" applyFont="1" applyAlignment="1">
      <alignment horizontal="left" vertical="center"/>
      <protection/>
    </xf>
    <xf numFmtId="0" fontId="87" fillId="0" borderId="0" xfId="52" applyFont="1" quotePrefix="1">
      <alignment/>
      <protection/>
    </xf>
    <xf numFmtId="0" fontId="107" fillId="0" borderId="0" xfId="52" applyFont="1" applyAlignment="1" quotePrefix="1">
      <alignment horizontal="left" vertical="center"/>
      <protection/>
    </xf>
    <xf numFmtId="0" fontId="110" fillId="0" borderId="74" xfId="52" applyFont="1" applyBorder="1" applyAlignment="1">
      <alignment horizontal="left" vertical="center"/>
      <protection/>
    </xf>
    <xf numFmtId="0" fontId="110" fillId="0" borderId="0" xfId="52" applyFont="1" applyAlignment="1">
      <alignment horizontal="left" vertical="center"/>
      <protection/>
    </xf>
    <xf numFmtId="0" fontId="110" fillId="0" borderId="73" xfId="52" applyFont="1" applyBorder="1" applyAlignment="1">
      <alignment horizontal="left" vertical="center"/>
      <protection/>
    </xf>
    <xf numFmtId="0" fontId="29" fillId="0" borderId="74" xfId="52" applyFont="1" applyBorder="1" applyAlignment="1">
      <alignment horizontal="left" vertical="center" wrapText="1"/>
      <protection/>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107" fillId="0" borderId="94" xfId="52" applyFont="1" applyBorder="1" applyAlignment="1">
      <alignment horizontal="left" vertical="center"/>
      <protection/>
    </xf>
    <xf numFmtId="0" fontId="107" fillId="0" borderId="86" xfId="52" applyFont="1" applyBorder="1" applyAlignment="1">
      <alignment horizontal="left" vertical="center"/>
      <protection/>
    </xf>
    <xf numFmtId="0" fontId="107" fillId="0" borderId="95" xfId="52" applyFont="1" applyBorder="1" applyAlignment="1">
      <alignment horizontal="left" vertical="center"/>
      <protection/>
    </xf>
    <xf numFmtId="0" fontId="110" fillId="45" borderId="96" xfId="52" applyFont="1" applyFill="1" applyBorder="1" applyAlignment="1">
      <alignment vertical="center" wrapText="1"/>
      <protection/>
    </xf>
    <xf numFmtId="0" fontId="110" fillId="45" borderId="90" xfId="52" applyFont="1" applyFill="1" applyBorder="1" applyAlignment="1">
      <alignment vertical="center" wrapText="1"/>
      <protection/>
    </xf>
    <xf numFmtId="0" fontId="110" fillId="45" borderId="97" xfId="52" applyFont="1" applyFill="1" applyBorder="1" applyAlignment="1">
      <alignment vertical="center" wrapText="1"/>
      <protection/>
    </xf>
    <xf numFmtId="0" fontId="107" fillId="0" borderId="74" xfId="52" applyFont="1" applyBorder="1" applyAlignment="1">
      <alignment horizontal="left" vertical="center" wrapText="1"/>
      <protection/>
    </xf>
    <xf numFmtId="0" fontId="107" fillId="0" borderId="0" xfId="52" applyFont="1" applyAlignment="1">
      <alignment horizontal="left" vertical="center" wrapText="1"/>
      <protection/>
    </xf>
    <xf numFmtId="0" fontId="107" fillId="0" borderId="73" xfId="52" applyFont="1" applyBorder="1" applyAlignment="1">
      <alignment horizontal="left" vertical="center" wrapText="1"/>
      <protection/>
    </xf>
    <xf numFmtId="0" fontId="110" fillId="45" borderId="96" xfId="52" applyFont="1" applyFill="1" applyBorder="1" applyAlignment="1">
      <alignment vertical="center"/>
      <protection/>
    </xf>
    <xf numFmtId="0" fontId="110" fillId="45" borderId="90" xfId="52" applyFont="1" applyFill="1" applyBorder="1" applyAlignment="1">
      <alignment vertical="center"/>
      <protection/>
    </xf>
    <xf numFmtId="0" fontId="110" fillId="45" borderId="97" xfId="52" applyFont="1" applyFill="1" applyBorder="1" applyAlignment="1">
      <alignment vertical="center"/>
      <protection/>
    </xf>
    <xf numFmtId="0" fontId="107" fillId="0" borderId="98" xfId="52" applyFont="1" applyBorder="1" applyAlignment="1">
      <alignment vertical="center" wrapText="1"/>
      <protection/>
    </xf>
    <xf numFmtId="0" fontId="107" fillId="0" borderId="99" xfId="52" applyFont="1" applyBorder="1" applyAlignment="1">
      <alignment vertical="center" wrapText="1"/>
      <protection/>
    </xf>
    <xf numFmtId="0" fontId="107" fillId="0" borderId="100" xfId="52" applyFont="1" applyBorder="1" applyAlignment="1">
      <alignment vertical="center" wrapText="1"/>
      <protection/>
    </xf>
    <xf numFmtId="0" fontId="110" fillId="0" borderId="101" xfId="52" applyFont="1" applyBorder="1" applyAlignment="1">
      <alignment horizontal="left" vertical="center"/>
      <protection/>
    </xf>
    <xf numFmtId="0" fontId="110" fillId="0" borderId="79" xfId="52" applyFont="1" applyBorder="1" applyAlignment="1">
      <alignment horizontal="left" vertical="center"/>
      <protection/>
    </xf>
    <xf numFmtId="0" fontId="110" fillId="0" borderId="102" xfId="52" applyFont="1" applyBorder="1" applyAlignment="1">
      <alignment horizontal="left" vertical="center"/>
      <protection/>
    </xf>
    <xf numFmtId="0" fontId="107" fillId="0" borderId="74" xfId="52" applyFont="1" applyBorder="1" applyAlignment="1">
      <alignment horizontal="left" vertical="center"/>
      <protection/>
    </xf>
    <xf numFmtId="0" fontId="29" fillId="0" borderId="92" xfId="52" applyFont="1" applyBorder="1" applyAlignment="1">
      <alignment horizontal="left" vertical="center" wrapText="1" indent="2"/>
      <protection/>
    </xf>
    <xf numFmtId="0" fontId="29" fillId="0" borderId="0" xfId="52" applyFont="1" applyBorder="1" applyAlignment="1">
      <alignment horizontal="left" vertical="center" wrapText="1" indent="2"/>
      <protection/>
    </xf>
    <xf numFmtId="0" fontId="29" fillId="0" borderId="93" xfId="52" applyFont="1" applyBorder="1" applyAlignment="1">
      <alignment horizontal="left" vertical="center" wrapText="1" indent="2"/>
      <protection/>
    </xf>
    <xf numFmtId="0" fontId="29" fillId="0" borderId="86" xfId="52" applyFont="1" applyBorder="1" applyAlignment="1">
      <alignment horizontal="left" vertical="center" wrapText="1" indent="2"/>
      <protection/>
    </xf>
    <xf numFmtId="0" fontId="111" fillId="42" borderId="89" xfId="52" applyFont="1" applyFill="1" applyBorder="1" applyAlignment="1">
      <alignment vertical="center"/>
      <protection/>
    </xf>
    <xf numFmtId="0" fontId="111" fillId="42" borderId="90" xfId="52" applyFont="1" applyFill="1" applyBorder="1" applyAlignment="1">
      <alignment vertical="center"/>
      <protection/>
    </xf>
    <xf numFmtId="0" fontId="111" fillId="42" borderId="91" xfId="52" applyFont="1" applyFill="1" applyBorder="1" applyAlignment="1">
      <alignment vertical="center"/>
      <protection/>
    </xf>
    <xf numFmtId="0" fontId="52" fillId="0" borderId="93" xfId="44" applyFont="1" applyBorder="1" applyAlignment="1" applyProtection="1">
      <alignment vertical="center" wrapText="1"/>
      <protection/>
    </xf>
    <xf numFmtId="0" fontId="52" fillId="0" borderId="86" xfId="44" applyFont="1" applyBorder="1" applyAlignment="1" applyProtection="1">
      <alignment vertical="center" wrapText="1"/>
      <protection/>
    </xf>
    <xf numFmtId="0" fontId="52" fillId="0" borderId="87" xfId="44" applyFont="1" applyBorder="1" applyAlignment="1" applyProtection="1">
      <alignment vertical="center" wrapText="1"/>
      <protection/>
    </xf>
    <xf numFmtId="3" fontId="0" fillId="43" borderId="93" xfId="52" applyNumberFormat="1" applyFont="1" applyFill="1" applyBorder="1" applyAlignment="1" applyProtection="1">
      <alignment horizontal="center" vertical="center"/>
      <protection locked="0"/>
    </xf>
    <xf numFmtId="3" fontId="0" fillId="43" borderId="87" xfId="52" applyNumberFormat="1" applyFont="1" applyFill="1" applyBorder="1" applyAlignment="1" applyProtection="1">
      <alignment horizontal="center" vertical="center"/>
      <protection locked="0"/>
    </xf>
    <xf numFmtId="14" fontId="107" fillId="44" borderId="103" xfId="52" applyNumberFormat="1" applyFont="1" applyFill="1" applyBorder="1" applyAlignment="1" applyProtection="1">
      <alignment horizontal="left" vertical="center"/>
      <protection locked="0"/>
    </xf>
    <xf numFmtId="0" fontId="107" fillId="44" borderId="81" xfId="52" applyFont="1" applyFill="1" applyBorder="1" applyAlignment="1" applyProtection="1">
      <alignment horizontal="left" vertical="center"/>
      <protection locked="0"/>
    </xf>
    <xf numFmtId="0" fontId="107" fillId="0" borderId="104" xfId="52" applyFont="1" applyBorder="1" applyAlignment="1">
      <alignment vertical="center"/>
      <protection/>
    </xf>
    <xf numFmtId="0" fontId="107" fillId="0" borderId="105" xfId="52" applyFont="1" applyBorder="1" applyAlignment="1">
      <alignment vertical="center"/>
      <protection/>
    </xf>
    <xf numFmtId="0" fontId="29" fillId="0" borderId="80" xfId="52" applyFont="1" applyBorder="1" applyAlignment="1">
      <alignment horizontal="left" vertical="top" wrapText="1" indent="2"/>
      <protection/>
    </xf>
    <xf numFmtId="0" fontId="107" fillId="0" borderId="79" xfId="52" applyFont="1" applyBorder="1" applyAlignment="1">
      <alignment horizontal="left" vertical="top" wrapText="1" indent="2"/>
      <protection/>
    </xf>
    <xf numFmtId="0" fontId="107" fillId="0" borderId="78" xfId="52" applyFont="1" applyBorder="1" applyAlignment="1">
      <alignment horizontal="left" vertical="top" wrapText="1" indent="2"/>
      <protection/>
    </xf>
    <xf numFmtId="0" fontId="29" fillId="0" borderId="92" xfId="52" applyFont="1" applyBorder="1" applyAlignment="1">
      <alignment horizontal="left" vertical="top" wrapText="1" indent="2"/>
      <protection/>
    </xf>
    <xf numFmtId="0" fontId="107" fillId="0" borderId="0" xfId="52" applyFont="1" applyAlignment="1">
      <alignment horizontal="left" vertical="top" wrapText="1" indent="2"/>
      <protection/>
    </xf>
    <xf numFmtId="0" fontId="107" fillId="0" borderId="88" xfId="52" applyFont="1" applyBorder="1" applyAlignment="1">
      <alignment horizontal="left" vertical="top" wrapText="1" indent="2"/>
      <protection/>
    </xf>
    <xf numFmtId="176" fontId="0" fillId="0" borderId="93" xfId="52" applyNumberFormat="1" applyFont="1" applyBorder="1" applyAlignment="1" applyProtection="1">
      <alignment horizontal="center" vertical="center"/>
      <protection hidden="1"/>
    </xf>
    <xf numFmtId="176" fontId="0" fillId="0" borderId="86" xfId="52" applyNumberFormat="1" applyFont="1" applyBorder="1" applyAlignment="1" applyProtection="1">
      <alignment horizontal="center" vertical="center"/>
      <protection hidden="1"/>
    </xf>
    <xf numFmtId="176" fontId="0" fillId="0" borderId="87" xfId="52" applyNumberFormat="1" applyFont="1" applyBorder="1" applyAlignment="1" applyProtection="1">
      <alignment horizontal="center" vertical="center"/>
      <protection hidden="1"/>
    </xf>
    <xf numFmtId="0" fontId="111" fillId="42" borderId="80" xfId="52" applyFont="1" applyFill="1" applyBorder="1" applyAlignment="1">
      <alignment vertical="center"/>
      <protection/>
    </xf>
    <xf numFmtId="0" fontId="111" fillId="42" borderId="79" xfId="52" applyFont="1" applyFill="1" applyBorder="1" applyAlignment="1">
      <alignment vertical="center"/>
      <protection/>
    </xf>
    <xf numFmtId="0" fontId="111" fillId="42" borderId="78" xfId="52" applyFont="1" applyFill="1" applyBorder="1" applyAlignment="1">
      <alignment vertical="center"/>
      <protection/>
    </xf>
    <xf numFmtId="0" fontId="107" fillId="0" borderId="80" xfId="52" applyFont="1" applyFill="1" applyBorder="1" applyAlignment="1">
      <alignment horizontal="left" vertical="center"/>
      <protection/>
    </xf>
    <xf numFmtId="0" fontId="107" fillId="0" borderId="79" xfId="52" applyFont="1" applyFill="1" applyBorder="1" applyAlignment="1">
      <alignment horizontal="left" vertical="center"/>
      <protection/>
    </xf>
    <xf numFmtId="0" fontId="107" fillId="0" borderId="78" xfId="52" applyFont="1" applyFill="1" applyBorder="1" applyAlignment="1">
      <alignment horizontal="left" vertical="center"/>
      <protection/>
    </xf>
    <xf numFmtId="0" fontId="107" fillId="43" borderId="81" xfId="52" applyFont="1" applyFill="1" applyBorder="1" applyAlignment="1" applyProtection="1">
      <alignment vertical="center"/>
      <protection locked="0"/>
    </xf>
    <xf numFmtId="0" fontId="0" fillId="43" borderId="81" xfId="52" applyFont="1" applyFill="1" applyBorder="1" applyAlignment="1" applyProtection="1">
      <alignment vertical="center"/>
      <protection locked="0"/>
    </xf>
    <xf numFmtId="0" fontId="0" fillId="43" borderId="93" xfId="52" applyFont="1" applyFill="1" applyBorder="1" applyAlignment="1" applyProtection="1">
      <alignment horizontal="left" vertical="center"/>
      <protection locked="0"/>
    </xf>
    <xf numFmtId="0" fontId="0" fillId="43" borderId="86" xfId="52" applyFont="1" applyFill="1" applyBorder="1" applyAlignment="1" applyProtection="1">
      <alignment horizontal="left" vertical="center"/>
      <protection locked="0"/>
    </xf>
    <xf numFmtId="0" fontId="0" fillId="43" borderId="87" xfId="52" applyFont="1" applyFill="1" applyBorder="1" applyAlignment="1" applyProtection="1">
      <alignment horizontal="left" vertical="center"/>
      <protection locked="0"/>
    </xf>
    <xf numFmtId="0" fontId="107" fillId="0" borderId="80" xfId="52" applyFont="1" applyBorder="1" applyAlignment="1">
      <alignment horizontal="left" vertical="center"/>
      <protection/>
    </xf>
    <xf numFmtId="0" fontId="107" fillId="0" borderId="79" xfId="52" applyFont="1" applyBorder="1" applyAlignment="1">
      <alignment horizontal="left" vertical="center"/>
      <protection/>
    </xf>
    <xf numFmtId="0" fontId="107" fillId="0" borderId="78" xfId="52" applyFont="1" applyBorder="1" applyAlignment="1">
      <alignment horizontal="left" vertical="center"/>
      <protection/>
    </xf>
    <xf numFmtId="0" fontId="107" fillId="0" borderId="93" xfId="52" applyFont="1" applyBorder="1" applyAlignment="1">
      <alignment horizontal="left" vertical="center"/>
      <protection/>
    </xf>
    <xf numFmtId="0" fontId="107" fillId="0" borderId="87" xfId="52" applyFont="1" applyBorder="1" applyAlignment="1">
      <alignment horizontal="left" vertical="center"/>
      <protection/>
    </xf>
    <xf numFmtId="0" fontId="107" fillId="0" borderId="80" xfId="52" applyFont="1" applyBorder="1" applyAlignment="1">
      <alignment vertical="center"/>
      <protection/>
    </xf>
    <xf numFmtId="0" fontId="107" fillId="0" borderId="79" xfId="52" applyFont="1" applyBorder="1" applyAlignment="1">
      <alignment vertical="center"/>
      <protection/>
    </xf>
    <xf numFmtId="0" fontId="107" fillId="0" borderId="78" xfId="52" applyFont="1" applyBorder="1" applyAlignment="1">
      <alignment vertical="center"/>
      <protection/>
    </xf>
    <xf numFmtId="0" fontId="107" fillId="44" borderId="93" xfId="52" applyFont="1" applyFill="1" applyBorder="1" applyAlignment="1" applyProtection="1">
      <alignment vertical="center"/>
      <protection locked="0"/>
    </xf>
    <xf numFmtId="0" fontId="107" fillId="44" borderId="86" xfId="52" applyFont="1" applyFill="1" applyBorder="1" applyAlignment="1" applyProtection="1">
      <alignment vertical="center"/>
      <protection locked="0"/>
    </xf>
    <xf numFmtId="0" fontId="107" fillId="44" borderId="87" xfId="52" applyFont="1" applyFill="1" applyBorder="1" applyAlignment="1" applyProtection="1">
      <alignment vertical="center"/>
      <protection locked="0"/>
    </xf>
    <xf numFmtId="0" fontId="107" fillId="0" borderId="82" xfId="52" applyFont="1" applyBorder="1" applyAlignment="1">
      <alignment horizontal="left" vertical="center"/>
      <protection/>
    </xf>
    <xf numFmtId="0" fontId="107" fillId="43" borderId="81" xfId="52" applyFont="1" applyFill="1" applyBorder="1" applyAlignment="1" applyProtection="1">
      <alignment horizontal="left" vertical="center"/>
      <protection locked="0"/>
    </xf>
    <xf numFmtId="0" fontId="107" fillId="43" borderId="93" xfId="52" applyFont="1" applyFill="1" applyBorder="1" applyAlignment="1" applyProtection="1">
      <alignment horizontal="left" vertical="center"/>
      <protection locked="0"/>
    </xf>
    <xf numFmtId="0" fontId="107" fillId="43" borderId="86" xfId="52" applyFont="1" applyFill="1" applyBorder="1" applyAlignment="1" applyProtection="1">
      <alignment horizontal="left" vertical="center"/>
      <protection locked="0"/>
    </xf>
    <xf numFmtId="0" fontId="107" fillId="43" borderId="87" xfId="52" applyFont="1" applyFill="1" applyBorder="1" applyAlignment="1" applyProtection="1">
      <alignment horizontal="left" vertical="center"/>
      <protection locked="0"/>
    </xf>
    <xf numFmtId="0" fontId="16" fillId="0" borderId="82" xfId="44" applyBorder="1" applyAlignment="1" applyProtection="1">
      <alignment horizontal="left" vertical="center"/>
      <protection/>
    </xf>
    <xf numFmtId="0" fontId="107" fillId="44" borderId="93" xfId="52" applyFont="1" applyFill="1" applyBorder="1" applyAlignment="1" applyProtection="1">
      <alignment horizontal="left" vertical="center"/>
      <protection locked="0"/>
    </xf>
    <xf numFmtId="0" fontId="107" fillId="44" borderId="86" xfId="52" applyFont="1" applyFill="1" applyBorder="1" applyAlignment="1" applyProtection="1">
      <alignment horizontal="left" vertical="center"/>
      <protection locked="0"/>
    </xf>
    <xf numFmtId="0" fontId="107" fillId="44" borderId="87" xfId="52" applyFont="1" applyFill="1" applyBorder="1" applyAlignment="1" applyProtection="1">
      <alignment horizontal="left" vertical="center"/>
      <protection locked="0"/>
    </xf>
    <xf numFmtId="0" fontId="110" fillId="45" borderId="89" xfId="52" applyFont="1" applyFill="1" applyBorder="1" applyAlignment="1">
      <alignment vertical="center"/>
      <protection/>
    </xf>
    <xf numFmtId="0" fontId="110" fillId="45" borderId="91" xfId="52" applyFont="1" applyFill="1" applyBorder="1" applyAlignment="1">
      <alignment vertical="center"/>
      <protection/>
    </xf>
    <xf numFmtId="0" fontId="107" fillId="44" borderId="89" xfId="52" applyFont="1" applyFill="1" applyBorder="1" applyAlignment="1" applyProtection="1">
      <alignment vertical="top" wrapText="1"/>
      <protection locked="0"/>
    </xf>
    <xf numFmtId="0" fontId="107" fillId="44" borderId="90" xfId="52" applyFont="1" applyFill="1" applyBorder="1" applyAlignment="1" applyProtection="1">
      <alignment vertical="top" wrapText="1"/>
      <protection locked="0"/>
    </xf>
    <xf numFmtId="0" fontId="107" fillId="44" borderId="91" xfId="52" applyFont="1" applyFill="1" applyBorder="1" applyAlignment="1" applyProtection="1">
      <alignment vertical="top" wrapText="1"/>
      <protection locked="0"/>
    </xf>
    <xf numFmtId="0" fontId="107" fillId="42" borderId="0" xfId="52" applyFont="1" applyFill="1" applyAlignment="1">
      <alignment horizontal="left" vertical="center"/>
      <protection/>
    </xf>
    <xf numFmtId="0" fontId="114" fillId="0" borderId="0" xfId="52" applyFont="1" applyAlignment="1">
      <alignment vertical="top" wrapText="1"/>
      <protection/>
    </xf>
    <xf numFmtId="176" fontId="107" fillId="0" borderId="93" xfId="52" applyNumberFormat="1" applyFont="1" applyBorder="1" applyAlignment="1" applyProtection="1">
      <alignment horizontal="center" vertical="center"/>
      <protection hidden="1"/>
    </xf>
    <xf numFmtId="176" fontId="107" fillId="0" borderId="86" xfId="52" applyNumberFormat="1" applyFont="1" applyBorder="1" applyAlignment="1" applyProtection="1">
      <alignment horizontal="center" vertical="center"/>
      <protection hidden="1"/>
    </xf>
    <xf numFmtId="176" fontId="107" fillId="0" borderId="87" xfId="52" applyNumberFormat="1" applyFont="1" applyBorder="1" applyAlignment="1" applyProtection="1">
      <alignment horizontal="center" vertical="center"/>
      <protection hidden="1"/>
    </xf>
    <xf numFmtId="4" fontId="0" fillId="0" borderId="93" xfId="52" applyNumberFormat="1" applyFont="1" applyBorder="1" applyAlignment="1" applyProtection="1">
      <alignment horizontal="center" vertical="center"/>
      <protection hidden="1"/>
    </xf>
    <xf numFmtId="4" fontId="0" fillId="0" borderId="87" xfId="52" applyNumberFormat="1" applyFont="1" applyBorder="1" applyAlignment="1" applyProtection="1">
      <alignment horizontal="center" vertical="center"/>
      <protection hidden="1"/>
    </xf>
    <xf numFmtId="0" fontId="110" fillId="45" borderId="80" xfId="52" applyFont="1" applyFill="1" applyBorder="1" applyAlignment="1">
      <alignment horizontal="center" vertical="center"/>
      <protection/>
    </xf>
    <xf numFmtId="0" fontId="110" fillId="45" borderId="78" xfId="52" applyFont="1" applyFill="1" applyBorder="1" applyAlignment="1">
      <alignment horizontal="center" vertical="center"/>
      <protection/>
    </xf>
    <xf numFmtId="0" fontId="110" fillId="45" borderId="93" xfId="52" applyFont="1" applyFill="1" applyBorder="1" applyAlignment="1">
      <alignment horizontal="center" vertical="center"/>
      <protection/>
    </xf>
    <xf numFmtId="0" fontId="110" fillId="45" borderId="87" xfId="52" applyFont="1" applyFill="1" applyBorder="1" applyAlignment="1">
      <alignment horizontal="center" vertical="center"/>
      <protection/>
    </xf>
    <xf numFmtId="0" fontId="107" fillId="0" borderId="82" xfId="52" applyFont="1" applyFill="1" applyBorder="1" applyAlignment="1">
      <alignment horizontal="left" vertical="center"/>
      <protection/>
    </xf>
    <xf numFmtId="14" fontId="107" fillId="44" borderId="81" xfId="52" applyNumberFormat="1" applyFont="1" applyFill="1" applyBorder="1" applyAlignment="1" applyProtection="1">
      <alignment horizontal="left" vertical="center"/>
      <protection locked="0"/>
    </xf>
    <xf numFmtId="0" fontId="107" fillId="0" borderId="89" xfId="52" applyFont="1" applyBorder="1" applyAlignment="1">
      <alignment horizontal="left"/>
      <protection/>
    </xf>
    <xf numFmtId="0" fontId="107" fillId="0" borderId="91" xfId="52" applyFont="1" applyBorder="1" applyAlignment="1">
      <alignment horizontal="left"/>
      <protection/>
    </xf>
    <xf numFmtId="2" fontId="107" fillId="0" borderId="93" xfId="49" applyNumberFormat="1" applyFont="1" applyBorder="1" applyAlignment="1" applyProtection="1">
      <alignment horizontal="left" vertical="center"/>
      <protection hidden="1"/>
    </xf>
    <xf numFmtId="2" fontId="107" fillId="0" borderId="87" xfId="49" applyNumberFormat="1" applyFont="1" applyBorder="1" applyAlignment="1" applyProtection="1">
      <alignment horizontal="left" vertical="center"/>
      <protection hidden="1"/>
    </xf>
    <xf numFmtId="0" fontId="107" fillId="0" borderId="82" xfId="52" applyFont="1" applyBorder="1" applyAlignment="1">
      <alignment vertical="center"/>
      <protection/>
    </xf>
    <xf numFmtId="0" fontId="107" fillId="0" borderId="83" xfId="52" applyFont="1" applyBorder="1" applyAlignment="1">
      <alignment horizontal="left"/>
      <protection/>
    </xf>
    <xf numFmtId="0" fontId="111" fillId="42" borderId="83" xfId="52" applyFont="1" applyFill="1" applyBorder="1" applyAlignment="1">
      <alignment horizontal="left" vertical="center"/>
      <protection/>
    </xf>
    <xf numFmtId="0" fontId="107" fillId="0" borderId="0" xfId="52" applyFont="1" applyAlignment="1" applyProtection="1">
      <alignment vertical="center" wrapText="1"/>
      <protection locked="0"/>
    </xf>
    <xf numFmtId="0" fontId="111" fillId="42" borderId="89" xfId="52" applyFont="1" applyFill="1" applyBorder="1" applyAlignment="1">
      <alignment vertical="center" wrapText="1"/>
      <protection/>
    </xf>
    <xf numFmtId="0" fontId="107" fillId="0" borderId="106" xfId="52" applyFont="1" applyBorder="1" applyAlignment="1" applyProtection="1">
      <alignment horizontal="left" vertical="center"/>
      <protection locked="0"/>
    </xf>
    <xf numFmtId="0" fontId="107" fillId="0" borderId="107" xfId="52" applyFont="1" applyBorder="1" applyAlignment="1" applyProtection="1">
      <alignment horizontal="left" vertical="center"/>
      <protection locked="0"/>
    </xf>
    <xf numFmtId="0" fontId="107" fillId="0" borderId="108" xfId="52" applyFont="1" applyBorder="1" applyAlignment="1" applyProtection="1">
      <alignment horizontal="left" vertical="center"/>
      <protection locked="0"/>
    </xf>
    <xf numFmtId="14" fontId="107" fillId="0" borderId="93" xfId="52" applyNumberFormat="1" applyFont="1" applyBorder="1" applyAlignment="1" applyProtection="1">
      <alignment horizontal="left" vertical="center"/>
      <protection hidden="1"/>
    </xf>
    <xf numFmtId="0" fontId="107" fillId="0" borderId="87" xfId="52" applyFont="1" applyBorder="1" applyAlignment="1" applyProtection="1">
      <alignment horizontal="left" vertical="center"/>
      <protection hidden="1"/>
    </xf>
    <xf numFmtId="0" fontId="0" fillId="0" borderId="92" xfId="52" applyFont="1" applyBorder="1" applyAlignment="1">
      <alignment vertical="center"/>
      <protection/>
    </xf>
    <xf numFmtId="0" fontId="0" fillId="0" borderId="0" xfId="52" applyFont="1" applyAlignment="1">
      <alignment vertical="center"/>
      <protection/>
    </xf>
    <xf numFmtId="0" fontId="0" fillId="0" borderId="88" xfId="52" applyFont="1" applyBorder="1" applyAlignment="1">
      <alignment vertical="center"/>
      <protection/>
    </xf>
    <xf numFmtId="14" fontId="107" fillId="43" borderId="93" xfId="52" applyNumberFormat="1" applyFont="1" applyFill="1" applyBorder="1" applyAlignment="1" applyProtection="1">
      <alignment horizontal="left" vertical="center"/>
      <protection hidden="1" locked="0"/>
    </xf>
    <xf numFmtId="0" fontId="107" fillId="43" borderId="86" xfId="52" applyFont="1" applyFill="1" applyBorder="1" applyAlignment="1" applyProtection="1">
      <alignment horizontal="left" vertical="center"/>
      <protection hidden="1" locked="0"/>
    </xf>
    <xf numFmtId="0" fontId="107" fillId="43" borderId="87" xfId="52" applyFont="1" applyFill="1" applyBorder="1" applyAlignment="1" applyProtection="1">
      <alignment horizontal="left" vertical="center"/>
      <protection hidden="1" locked="0"/>
    </xf>
    <xf numFmtId="4" fontId="107" fillId="0" borderId="93" xfId="52" applyNumberFormat="1" applyFont="1" applyBorder="1" applyAlignment="1" applyProtection="1">
      <alignment horizontal="left" vertical="center"/>
      <protection hidden="1"/>
    </xf>
    <xf numFmtId="4" fontId="107" fillId="0" borderId="87" xfId="52" applyNumberFormat="1" applyFont="1" applyBorder="1" applyAlignment="1" applyProtection="1">
      <alignment horizontal="left" vertical="center"/>
      <protection hidden="1"/>
    </xf>
    <xf numFmtId="0" fontId="110" fillId="45" borderId="92" xfId="52" applyFont="1" applyFill="1" applyBorder="1" applyAlignment="1">
      <alignment horizontal="center" vertical="center" wrapText="1"/>
      <protection/>
    </xf>
    <xf numFmtId="0" fontId="110" fillId="45" borderId="88" xfId="52" applyFont="1" applyFill="1" applyBorder="1" applyAlignment="1">
      <alignment horizontal="center" vertical="center" wrapText="1"/>
      <protection/>
    </xf>
    <xf numFmtId="0" fontId="110" fillId="45" borderId="93" xfId="52" applyFont="1" applyFill="1" applyBorder="1" applyAlignment="1">
      <alignment horizontal="center" vertical="center" wrapText="1"/>
      <protection/>
    </xf>
    <xf numFmtId="0" fontId="110" fillId="45" borderId="87" xfId="52" applyFont="1" applyFill="1" applyBorder="1" applyAlignment="1">
      <alignment horizontal="center" vertical="center" wrapText="1"/>
      <protection/>
    </xf>
    <xf numFmtId="0" fontId="107" fillId="0" borderId="92" xfId="52" applyFont="1" applyBorder="1" applyAlignment="1">
      <alignment vertical="center"/>
      <protection/>
    </xf>
    <xf numFmtId="0" fontId="107" fillId="0" borderId="88" xfId="52" applyFont="1" applyBorder="1" applyAlignment="1">
      <alignment vertical="center"/>
      <protection/>
    </xf>
    <xf numFmtId="0" fontId="107" fillId="0" borderId="81" xfId="52" applyFont="1" applyFill="1" applyBorder="1" applyAlignment="1" applyProtection="1">
      <alignment vertical="center"/>
      <protection hidden="1"/>
    </xf>
    <xf numFmtId="176" fontId="107" fillId="0" borderId="81" xfId="52" applyNumberFormat="1" applyFont="1" applyBorder="1" applyAlignment="1" applyProtection="1">
      <alignment horizontal="left" vertical="center"/>
      <protection hidden="1"/>
    </xf>
    <xf numFmtId="0" fontId="0" fillId="0" borderId="0" xfId="0" applyAlignment="1">
      <alignment horizontal="center"/>
    </xf>
    <xf numFmtId="0" fontId="106" fillId="42" borderId="14" xfId="0" applyFont="1" applyFill="1" applyBorder="1" applyAlignment="1" applyProtection="1">
      <alignment horizontal="center" vertical="center"/>
      <protection hidden="1"/>
    </xf>
    <xf numFmtId="176" fontId="6" fillId="0" borderId="23" xfId="0" applyNumberFormat="1" applyFont="1" applyFill="1" applyBorder="1" applyAlignment="1" applyProtection="1">
      <alignment horizontal="center" vertical="center"/>
      <protection locked="0"/>
    </xf>
    <xf numFmtId="176" fontId="6" fillId="0" borderId="26" xfId="0" applyNumberFormat="1" applyFont="1" applyFill="1" applyBorder="1" applyAlignment="1" applyProtection="1">
      <alignment horizontal="center" vertical="center"/>
      <protection locked="0"/>
    </xf>
    <xf numFmtId="176" fontId="6" fillId="0"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center" vertical="center"/>
      <protection hidden="1"/>
    </xf>
    <xf numFmtId="0" fontId="106" fillId="42" borderId="26" xfId="0" applyFont="1" applyFill="1" applyBorder="1" applyAlignment="1" applyProtection="1">
      <alignment horizontal="center" vertical="center"/>
      <protection hidden="1"/>
    </xf>
    <xf numFmtId="0" fontId="106" fillId="42" borderId="27" xfId="0" applyFont="1" applyFill="1" applyBorder="1" applyAlignment="1" applyProtection="1">
      <alignment horizontal="center" vertical="center"/>
      <protection hidden="1"/>
    </xf>
    <xf numFmtId="0" fontId="106" fillId="42" borderId="23" xfId="0" applyFont="1" applyFill="1" applyBorder="1" applyAlignment="1" applyProtection="1">
      <alignment horizontal="left" vertical="center"/>
      <protection hidden="1"/>
    </xf>
    <xf numFmtId="0" fontId="106" fillId="42" borderId="26" xfId="0" applyFont="1" applyFill="1" applyBorder="1" applyAlignment="1" applyProtection="1">
      <alignment horizontal="left" vertical="center"/>
      <protection hidden="1"/>
    </xf>
    <xf numFmtId="0" fontId="106" fillId="42" borderId="27" xfId="0" applyFont="1" applyFill="1" applyBorder="1" applyAlignment="1" applyProtection="1">
      <alignment horizontal="left" vertical="center"/>
      <protection hidden="1"/>
    </xf>
    <xf numFmtId="0" fontId="6" fillId="0" borderId="14" xfId="0" applyFont="1" applyBorder="1" applyAlignment="1" applyProtection="1">
      <alignment horizontal="center"/>
      <protection locked="0"/>
    </xf>
    <xf numFmtId="0" fontId="8" fillId="38" borderId="14" xfId="0" applyFont="1" applyFill="1" applyBorder="1" applyAlignment="1" applyProtection="1">
      <alignment horizontal="center" vertical="center"/>
      <protection hidden="1"/>
    </xf>
    <xf numFmtId="0" fontId="8" fillId="46" borderId="23" xfId="0" applyFont="1" applyFill="1" applyBorder="1" applyAlignment="1" applyProtection="1">
      <alignment horizontal="left" vertical="center"/>
      <protection hidden="1"/>
    </xf>
    <xf numFmtId="0" fontId="8" fillId="46" borderId="26" xfId="0" applyFont="1" applyFill="1" applyBorder="1" applyAlignment="1" applyProtection="1">
      <alignment horizontal="left" vertical="center"/>
      <protection hidden="1"/>
    </xf>
    <xf numFmtId="0" fontId="8" fillId="46" borderId="27" xfId="0" applyFont="1" applyFill="1" applyBorder="1" applyAlignment="1" applyProtection="1">
      <alignment horizontal="left" vertical="center"/>
      <protection hidden="1"/>
    </xf>
    <xf numFmtId="0" fontId="6" fillId="40" borderId="34" xfId="0" applyFont="1" applyFill="1" applyBorder="1" applyAlignment="1" applyProtection="1">
      <alignment horizontal="center"/>
      <protection hidden="1"/>
    </xf>
    <xf numFmtId="176" fontId="6" fillId="33" borderId="23" xfId="0" applyNumberFormat="1" applyFont="1" applyFill="1" applyBorder="1" applyAlignment="1" applyProtection="1">
      <alignment horizontal="center" vertical="center"/>
      <protection locked="0"/>
    </xf>
    <xf numFmtId="176" fontId="6" fillId="33" borderId="26" xfId="0" applyNumberFormat="1" applyFont="1" applyFill="1" applyBorder="1" applyAlignment="1" applyProtection="1">
      <alignment horizontal="center" vertical="center"/>
      <protection locked="0"/>
    </xf>
    <xf numFmtId="176" fontId="6" fillId="33" borderId="27"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9" fontId="106" fillId="42" borderId="14" xfId="0" applyNumberFormat="1" applyFont="1" applyFill="1" applyBorder="1" applyAlignment="1" applyProtection="1">
      <alignment horizontal="center" vertical="center"/>
      <protection hidden="1"/>
    </xf>
    <xf numFmtId="176" fontId="6" fillId="46" borderId="23" xfId="0" applyNumberFormat="1" applyFont="1" applyFill="1" applyBorder="1" applyAlignment="1" applyProtection="1">
      <alignment horizontal="center" vertical="center"/>
      <protection hidden="1"/>
    </xf>
    <xf numFmtId="176" fontId="6" fillId="46" borderId="26" xfId="0" applyNumberFormat="1" applyFont="1" applyFill="1" applyBorder="1" applyAlignment="1" applyProtection="1">
      <alignment horizontal="center" vertical="center"/>
      <protection hidden="1"/>
    </xf>
    <xf numFmtId="176" fontId="6" fillId="46" borderId="27" xfId="0" applyNumberFormat="1" applyFont="1" applyFill="1" applyBorder="1" applyAlignment="1" applyProtection="1">
      <alignment horizontal="center" vertical="center"/>
      <protection hidden="1"/>
    </xf>
    <xf numFmtId="0" fontId="115" fillId="42" borderId="109" xfId="0" applyFont="1" applyFill="1" applyBorder="1" applyAlignment="1" applyProtection="1">
      <alignment horizontal="center" vertical="center" textRotation="90"/>
      <protection/>
    </xf>
    <xf numFmtId="0" fontId="115" fillId="42" borderId="84" xfId="0" applyFont="1" applyFill="1" applyBorder="1" applyAlignment="1" applyProtection="1">
      <alignment horizontal="center" vertical="center" textRotation="90"/>
      <protection/>
    </xf>
    <xf numFmtId="0" fontId="115" fillId="42" borderId="85" xfId="0" applyFont="1" applyFill="1" applyBorder="1" applyAlignment="1" applyProtection="1">
      <alignment horizontal="center" vertical="center" textRotation="90"/>
      <protection/>
    </xf>
    <xf numFmtId="0" fontId="106" fillId="42" borderId="14" xfId="0" applyFont="1" applyFill="1" applyBorder="1" applyAlignment="1">
      <alignment horizontal="center"/>
    </xf>
    <xf numFmtId="0" fontId="115" fillId="42" borderId="109" xfId="0" applyFont="1" applyFill="1" applyBorder="1" applyAlignment="1" applyProtection="1">
      <alignment horizontal="center" vertical="center" textRotation="90"/>
      <protection hidden="1"/>
    </xf>
    <xf numFmtId="0" fontId="115" fillId="42" borderId="84" xfId="0" applyFont="1" applyFill="1" applyBorder="1" applyAlignment="1" applyProtection="1">
      <alignment horizontal="center" vertical="center" textRotation="90"/>
      <protection hidden="1"/>
    </xf>
    <xf numFmtId="0" fontId="115" fillId="42" borderId="85" xfId="0" applyFont="1" applyFill="1" applyBorder="1" applyAlignment="1" applyProtection="1">
      <alignment horizontal="center" vertical="center" textRotation="90"/>
      <protection hidden="1"/>
    </xf>
    <xf numFmtId="0" fontId="0" fillId="33" borderId="0" xfId="0" applyFill="1" applyBorder="1" applyAlignment="1" applyProtection="1">
      <alignment horizontal="center"/>
      <protection hidden="1"/>
    </xf>
    <xf numFmtId="176" fontId="6" fillId="46" borderId="14" xfId="0" applyNumberFormat="1" applyFont="1" applyFill="1" applyBorder="1" applyAlignment="1" applyProtection="1">
      <alignment horizontal="center" vertical="center"/>
      <protection hidden="1"/>
    </xf>
    <xf numFmtId="185" fontId="6" fillId="46" borderId="23" xfId="0" applyNumberFormat="1" applyFont="1" applyFill="1" applyBorder="1" applyAlignment="1" applyProtection="1">
      <alignment horizontal="center" vertical="center"/>
      <protection hidden="1"/>
    </xf>
    <xf numFmtId="185" fontId="6" fillId="46" borderId="26" xfId="0" applyNumberFormat="1" applyFont="1" applyFill="1" applyBorder="1" applyAlignment="1" applyProtection="1">
      <alignment horizontal="center" vertical="center"/>
      <protection hidden="1"/>
    </xf>
    <xf numFmtId="185" fontId="6" fillId="46" borderId="27" xfId="0" applyNumberFormat="1" applyFont="1" applyFill="1" applyBorder="1" applyAlignment="1" applyProtection="1">
      <alignment horizontal="center" vertical="center"/>
      <protection hidden="1"/>
    </xf>
    <xf numFmtId="176" fontId="6" fillId="46" borderId="14" xfId="0" applyNumberFormat="1" applyFont="1" applyFill="1" applyBorder="1" applyAlignment="1" applyProtection="1">
      <alignment horizontal="center" vertical="center"/>
      <protection hidden="1"/>
    </xf>
    <xf numFmtId="185" fontId="6" fillId="46" borderId="14" xfId="0" applyNumberFormat="1" applyFont="1" applyFill="1" applyBorder="1" applyAlignment="1" applyProtection="1">
      <alignment horizontal="center" vertical="center"/>
      <protection hidden="1"/>
    </xf>
    <xf numFmtId="0" fontId="8" fillId="38" borderId="23" xfId="0" applyFont="1" applyFill="1" applyBorder="1" applyAlignment="1" applyProtection="1">
      <alignment horizontal="center" vertical="center"/>
      <protection hidden="1"/>
    </xf>
    <xf numFmtId="0" fontId="8" fillId="38" borderId="26" xfId="0" applyFont="1" applyFill="1" applyBorder="1" applyAlignment="1" applyProtection="1">
      <alignment horizontal="center" vertical="center"/>
      <protection hidden="1"/>
    </xf>
    <xf numFmtId="0" fontId="8" fillId="38" borderId="27" xfId="0" applyFont="1" applyFill="1" applyBorder="1" applyAlignment="1" applyProtection="1">
      <alignment horizontal="center" vertical="center"/>
      <protection hidden="1"/>
    </xf>
    <xf numFmtId="3" fontId="6" fillId="38" borderId="23" xfId="0" applyNumberFormat="1" applyFont="1" applyFill="1" applyBorder="1" applyAlignment="1" applyProtection="1">
      <alignment horizontal="center" vertical="center"/>
      <protection hidden="1"/>
    </xf>
    <xf numFmtId="3" fontId="6" fillId="38" borderId="26" xfId="0" applyNumberFormat="1" applyFont="1" applyFill="1" applyBorder="1" applyAlignment="1" applyProtection="1">
      <alignment horizontal="center" vertical="center"/>
      <protection hidden="1"/>
    </xf>
    <xf numFmtId="3" fontId="6" fillId="38" borderId="27" xfId="0" applyNumberFormat="1" applyFont="1" applyFill="1" applyBorder="1" applyAlignment="1" applyProtection="1">
      <alignment horizontal="center" vertical="center"/>
      <protection hidden="1"/>
    </xf>
    <xf numFmtId="0" fontId="6" fillId="33" borderId="110" xfId="0" applyFont="1" applyFill="1" applyBorder="1" applyAlignment="1" applyProtection="1">
      <alignment horizontal="center" vertical="center"/>
      <protection hidden="1"/>
    </xf>
    <xf numFmtId="0" fontId="6" fillId="33" borderId="111" xfId="0" applyFont="1" applyFill="1" applyBorder="1" applyAlignment="1" applyProtection="1">
      <alignment horizontal="center" vertical="center"/>
      <protection hidden="1"/>
    </xf>
    <xf numFmtId="0" fontId="6" fillId="33" borderId="112" xfId="0" applyFont="1" applyFill="1" applyBorder="1" applyAlignment="1" applyProtection="1">
      <alignment horizontal="center" vertical="center"/>
      <protection hidden="1"/>
    </xf>
    <xf numFmtId="0" fontId="6" fillId="33" borderId="110" xfId="0" applyFont="1" applyFill="1" applyBorder="1" applyAlignment="1" applyProtection="1">
      <alignment horizontal="left" vertical="center"/>
      <protection hidden="1"/>
    </xf>
    <xf numFmtId="0" fontId="6" fillId="33" borderId="111" xfId="0" applyFont="1" applyFill="1" applyBorder="1" applyAlignment="1" applyProtection="1">
      <alignment horizontal="left" vertical="center"/>
      <protection hidden="1"/>
    </xf>
    <xf numFmtId="0" fontId="6" fillId="33" borderId="112" xfId="0" applyFont="1" applyFill="1" applyBorder="1" applyAlignment="1" applyProtection="1">
      <alignment horizontal="left" vertical="center"/>
      <protection hidden="1"/>
    </xf>
    <xf numFmtId="0" fontId="6" fillId="33" borderId="113" xfId="0" applyFont="1" applyFill="1" applyBorder="1" applyAlignment="1" applyProtection="1">
      <alignment horizontal="left" vertical="center"/>
      <protection locked="0"/>
    </xf>
    <xf numFmtId="176" fontId="6" fillId="38" borderId="23" xfId="0" applyNumberFormat="1" applyFont="1" applyFill="1" applyBorder="1" applyAlignment="1" applyProtection="1">
      <alignment horizontal="center"/>
      <protection hidden="1"/>
    </xf>
    <xf numFmtId="176" fontId="6" fillId="38" borderId="26" xfId="0" applyNumberFormat="1" applyFont="1" applyFill="1" applyBorder="1" applyAlignment="1" applyProtection="1">
      <alignment horizontal="center"/>
      <protection hidden="1"/>
    </xf>
    <xf numFmtId="176" fontId="6" fillId="38" borderId="27" xfId="0" applyNumberFormat="1" applyFont="1" applyFill="1" applyBorder="1" applyAlignment="1" applyProtection="1">
      <alignment horizontal="center"/>
      <protection hidden="1"/>
    </xf>
    <xf numFmtId="0" fontId="6" fillId="46" borderId="23" xfId="0" applyFont="1" applyFill="1" applyBorder="1" applyAlignment="1" applyProtection="1">
      <alignment vertical="center"/>
      <protection hidden="1"/>
    </xf>
    <xf numFmtId="0" fontId="6" fillId="46" borderId="26" xfId="0" applyFont="1" applyFill="1" applyBorder="1" applyAlignment="1" applyProtection="1">
      <alignment vertical="center"/>
      <protection hidden="1"/>
    </xf>
    <xf numFmtId="0" fontId="6" fillId="46" borderId="27" xfId="0" applyFont="1" applyFill="1" applyBorder="1" applyAlignment="1" applyProtection="1">
      <alignment vertical="center"/>
      <protection hidden="1"/>
    </xf>
    <xf numFmtId="14" fontId="6" fillId="0" borderId="23" xfId="0" applyNumberFormat="1" applyFont="1" applyFill="1" applyBorder="1" applyAlignment="1" applyProtection="1">
      <alignment horizontal="center" vertical="center"/>
      <protection locked="0"/>
    </xf>
    <xf numFmtId="14" fontId="6" fillId="0" borderId="26" xfId="0" applyNumberFormat="1" applyFont="1" applyFill="1" applyBorder="1" applyAlignment="1" applyProtection="1">
      <alignment horizontal="center" vertical="center"/>
      <protection locked="0"/>
    </xf>
    <xf numFmtId="14" fontId="6" fillId="0" borderId="27" xfId="0" applyNumberFormat="1"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xf>
    <xf numFmtId="0" fontId="6" fillId="33" borderId="114" xfId="0" applyFont="1" applyFill="1" applyBorder="1" applyAlignment="1" applyProtection="1">
      <alignment horizontal="left" vertical="center"/>
      <protection locked="0"/>
    </xf>
    <xf numFmtId="0" fontId="6" fillId="33" borderId="115" xfId="0" applyFont="1" applyFill="1" applyBorder="1" applyAlignment="1" applyProtection="1">
      <alignment horizontal="left" vertical="center"/>
      <protection locked="0"/>
    </xf>
    <xf numFmtId="9" fontId="6" fillId="38" borderId="23" xfId="0" applyNumberFormat="1" applyFont="1" applyFill="1" applyBorder="1" applyAlignment="1" applyProtection="1">
      <alignment horizontal="center" vertical="center"/>
      <protection hidden="1"/>
    </xf>
    <xf numFmtId="9" fontId="6" fillId="38" borderId="26" xfId="0" applyNumberFormat="1" applyFont="1" applyFill="1" applyBorder="1" applyAlignment="1" applyProtection="1">
      <alignment horizontal="center" vertical="center"/>
      <protection hidden="1"/>
    </xf>
    <xf numFmtId="9" fontId="6" fillId="38" borderId="27" xfId="0" applyNumberFormat="1" applyFont="1" applyFill="1" applyBorder="1" applyAlignment="1" applyProtection="1">
      <alignment horizontal="center" vertical="center"/>
      <protection hidden="1"/>
    </xf>
    <xf numFmtId="0" fontId="28" fillId="37" borderId="44" xfId="0" applyFont="1" applyFill="1" applyBorder="1" applyAlignment="1" applyProtection="1">
      <alignment horizontal="left" vertical="center"/>
      <protection/>
    </xf>
    <xf numFmtId="0" fontId="28" fillId="37" borderId="0" xfId="0" applyFont="1" applyFill="1" applyBorder="1" applyAlignment="1" applyProtection="1">
      <alignment horizontal="left" vertical="center"/>
      <protection/>
    </xf>
    <xf numFmtId="3" fontId="6" fillId="33" borderId="23" xfId="0" applyNumberFormat="1" applyFont="1" applyFill="1" applyBorder="1" applyAlignment="1" applyProtection="1">
      <alignment horizontal="center"/>
      <protection locked="0"/>
    </xf>
    <xf numFmtId="3" fontId="6" fillId="33" borderId="26" xfId="0" applyNumberFormat="1" applyFont="1" applyFill="1" applyBorder="1" applyAlignment="1" applyProtection="1">
      <alignment horizontal="center"/>
      <protection locked="0"/>
    </xf>
    <xf numFmtId="3" fontId="6" fillId="33" borderId="27" xfId="0" applyNumberFormat="1" applyFont="1" applyFill="1" applyBorder="1" applyAlignment="1" applyProtection="1">
      <alignment horizontal="center"/>
      <protection locked="0"/>
    </xf>
    <xf numFmtId="3" fontId="6" fillId="38" borderId="23" xfId="0" applyNumberFormat="1" applyFont="1" applyFill="1" applyBorder="1" applyAlignment="1" applyProtection="1">
      <alignment horizontal="center"/>
      <protection hidden="1"/>
    </xf>
    <xf numFmtId="3" fontId="6" fillId="38" borderId="26" xfId="0" applyNumberFormat="1" applyFont="1" applyFill="1" applyBorder="1" applyAlignment="1" applyProtection="1">
      <alignment horizontal="center"/>
      <protection hidden="1"/>
    </xf>
    <xf numFmtId="3" fontId="6" fillId="38" borderId="27" xfId="0" applyNumberFormat="1" applyFont="1" applyFill="1" applyBorder="1" applyAlignment="1" applyProtection="1">
      <alignment horizontal="center"/>
      <protection hidden="1"/>
    </xf>
    <xf numFmtId="0" fontId="6" fillId="38" borderId="23" xfId="0" applyFont="1" applyFill="1" applyBorder="1" applyAlignment="1" applyProtection="1">
      <alignment horizontal="left"/>
      <protection/>
    </xf>
    <xf numFmtId="0" fontId="6" fillId="38" borderId="26" xfId="0" applyFont="1" applyFill="1" applyBorder="1" applyAlignment="1" applyProtection="1">
      <alignment horizontal="left"/>
      <protection/>
    </xf>
    <xf numFmtId="0" fontId="6" fillId="38" borderId="27" xfId="0" applyFont="1" applyFill="1" applyBorder="1" applyAlignment="1" applyProtection="1">
      <alignment horizontal="left"/>
      <protection/>
    </xf>
    <xf numFmtId="0" fontId="6" fillId="38" borderId="23" xfId="0" applyFont="1" applyFill="1" applyBorder="1" applyAlignment="1" applyProtection="1">
      <alignment horizontal="left" vertical="center"/>
      <protection/>
    </xf>
    <xf numFmtId="0" fontId="6" fillId="38" borderId="26" xfId="0" applyFont="1" applyFill="1" applyBorder="1" applyAlignment="1" applyProtection="1">
      <alignment horizontal="left" vertical="center"/>
      <protection/>
    </xf>
    <xf numFmtId="0" fontId="6" fillId="38" borderId="27" xfId="0" applyFont="1" applyFill="1" applyBorder="1" applyAlignment="1" applyProtection="1">
      <alignment horizontal="left" vertical="center"/>
      <protection/>
    </xf>
    <xf numFmtId="0" fontId="8" fillId="0" borderId="23" xfId="0" applyFont="1" applyFill="1" applyBorder="1" applyAlignment="1" applyProtection="1">
      <alignment horizontal="left"/>
      <protection locked="0"/>
    </xf>
    <xf numFmtId="0" fontId="8" fillId="0" borderId="26"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176" fontId="6" fillId="38" borderId="23" xfId="0" applyNumberFormat="1" applyFont="1" applyFill="1" applyBorder="1" applyAlignment="1" applyProtection="1">
      <alignment horizontal="center" vertical="center"/>
      <protection hidden="1"/>
    </xf>
    <xf numFmtId="176" fontId="6" fillId="38" borderId="26" xfId="0" applyNumberFormat="1" applyFont="1" applyFill="1" applyBorder="1" applyAlignment="1" applyProtection="1">
      <alignment horizontal="center" vertical="center"/>
      <protection hidden="1"/>
    </xf>
    <xf numFmtId="176" fontId="6" fillId="38" borderId="27" xfId="0" applyNumberFormat="1" applyFont="1" applyFill="1" applyBorder="1" applyAlignment="1" applyProtection="1">
      <alignment horizontal="center" vertical="center"/>
      <protection hidden="1"/>
    </xf>
    <xf numFmtId="182" fontId="6" fillId="38" borderId="23" xfId="0" applyNumberFormat="1" applyFont="1" applyFill="1" applyBorder="1" applyAlignment="1" applyProtection="1">
      <alignment horizontal="center" vertical="center"/>
      <protection hidden="1"/>
    </xf>
    <xf numFmtId="182" fontId="6" fillId="38" borderId="26" xfId="0" applyNumberFormat="1" applyFont="1" applyFill="1" applyBorder="1" applyAlignment="1" applyProtection="1">
      <alignment horizontal="center" vertical="center"/>
      <protection hidden="1"/>
    </xf>
    <xf numFmtId="182" fontId="6" fillId="38" borderId="27" xfId="0" applyNumberFormat="1" applyFont="1" applyFill="1" applyBorder="1" applyAlignment="1" applyProtection="1">
      <alignment horizontal="center" vertical="center"/>
      <protection hidden="1"/>
    </xf>
    <xf numFmtId="3" fontId="6" fillId="38" borderId="23" xfId="0" applyNumberFormat="1" applyFont="1" applyFill="1" applyBorder="1" applyAlignment="1" applyProtection="1">
      <alignment horizontal="center" vertical="center"/>
      <protection hidden="1"/>
    </xf>
    <xf numFmtId="3" fontId="6" fillId="38" borderId="27" xfId="0" applyNumberFormat="1" applyFont="1" applyFill="1" applyBorder="1" applyAlignment="1" applyProtection="1">
      <alignment horizontal="center" vertical="center"/>
      <protection hidden="1"/>
    </xf>
    <xf numFmtId="9" fontId="6" fillId="38" borderId="14" xfId="0" applyNumberFormat="1" applyFont="1" applyFill="1" applyBorder="1" applyAlignment="1" applyProtection="1">
      <alignment horizontal="center" vertical="center"/>
      <protection hidden="1"/>
    </xf>
    <xf numFmtId="182" fontId="6" fillId="47" borderId="23" xfId="0" applyNumberFormat="1" applyFont="1" applyFill="1" applyBorder="1" applyAlignment="1" applyProtection="1">
      <alignment horizontal="center" vertical="center"/>
      <protection hidden="1"/>
    </xf>
    <xf numFmtId="182" fontId="6" fillId="47" borderId="26" xfId="0" applyNumberFormat="1" applyFont="1" applyFill="1" applyBorder="1" applyAlignment="1" applyProtection="1">
      <alignment horizontal="center" vertical="center"/>
      <protection hidden="1"/>
    </xf>
    <xf numFmtId="182" fontId="6" fillId="47" borderId="27" xfId="0" applyNumberFormat="1" applyFont="1" applyFill="1" applyBorder="1" applyAlignment="1" applyProtection="1">
      <alignment horizontal="center" vertical="center"/>
      <protection hidden="1"/>
    </xf>
    <xf numFmtId="0" fontId="1" fillId="33" borderId="16" xfId="0" applyFont="1" applyFill="1" applyBorder="1" applyAlignment="1" applyProtection="1">
      <alignment horizontal="center" vertical="center"/>
      <protection hidden="1"/>
    </xf>
    <xf numFmtId="3" fontId="8" fillId="0" borderId="23" xfId="0" applyNumberFormat="1" applyFont="1" applyFill="1" applyBorder="1" applyAlignment="1" applyProtection="1">
      <alignment horizontal="left" vertical="center"/>
      <protection locked="0"/>
    </xf>
    <xf numFmtId="3" fontId="8" fillId="0" borderId="26" xfId="0" applyNumberFormat="1" applyFont="1" applyFill="1" applyBorder="1" applyAlignment="1" applyProtection="1">
      <alignment horizontal="left" vertical="center"/>
      <protection locked="0"/>
    </xf>
    <xf numFmtId="3" fontId="8" fillId="0" borderId="27" xfId="0" applyNumberFormat="1" applyFont="1" applyFill="1" applyBorder="1" applyAlignment="1" applyProtection="1">
      <alignment horizontal="left" vertical="center"/>
      <protection locked="0"/>
    </xf>
    <xf numFmtId="0" fontId="6" fillId="0" borderId="110" xfId="0" applyFont="1" applyFill="1" applyBorder="1" applyAlignment="1" applyProtection="1">
      <alignment horizontal="center"/>
      <protection hidden="1"/>
    </xf>
    <xf numFmtId="0" fontId="6" fillId="0" borderId="111" xfId="0" applyFont="1" applyFill="1" applyBorder="1" applyAlignment="1" applyProtection="1">
      <alignment horizontal="center"/>
      <protection hidden="1"/>
    </xf>
    <xf numFmtId="0" fontId="6" fillId="0" borderId="112" xfId="0" applyFont="1" applyFill="1" applyBorder="1" applyAlignment="1" applyProtection="1">
      <alignment horizontal="center"/>
      <protection hidden="1"/>
    </xf>
    <xf numFmtId="176" fontId="6" fillId="33" borderId="110" xfId="0" applyNumberFormat="1" applyFont="1" applyFill="1" applyBorder="1" applyAlignment="1" applyProtection="1">
      <alignment horizontal="center" vertical="center"/>
      <protection locked="0"/>
    </xf>
    <xf numFmtId="176" fontId="6" fillId="33" borderId="111" xfId="0" applyNumberFormat="1" applyFont="1" applyFill="1" applyBorder="1" applyAlignment="1" applyProtection="1">
      <alignment horizontal="center" vertical="center"/>
      <protection locked="0"/>
    </xf>
    <xf numFmtId="176" fontId="6" fillId="33" borderId="112" xfId="0" applyNumberFormat="1" applyFont="1" applyFill="1" applyBorder="1" applyAlignment="1" applyProtection="1">
      <alignment horizontal="center" vertical="center"/>
      <protection locked="0"/>
    </xf>
    <xf numFmtId="3" fontId="6" fillId="33" borderId="110" xfId="0" applyNumberFormat="1" applyFont="1" applyFill="1" applyBorder="1" applyAlignment="1" applyProtection="1">
      <alignment horizontal="center" vertical="center"/>
      <protection locked="0"/>
    </xf>
    <xf numFmtId="3" fontId="6" fillId="33" borderId="111" xfId="0" applyNumberFormat="1" applyFont="1" applyFill="1" applyBorder="1" applyAlignment="1" applyProtection="1">
      <alignment horizontal="center" vertical="center"/>
      <protection locked="0"/>
    </xf>
    <xf numFmtId="3" fontId="6" fillId="33" borderId="112" xfId="0" applyNumberFormat="1" applyFont="1" applyFill="1" applyBorder="1" applyAlignment="1" applyProtection="1">
      <alignment horizontal="center" vertical="center"/>
      <protection locked="0"/>
    </xf>
    <xf numFmtId="185" fontId="6" fillId="38" borderId="23" xfId="0" applyNumberFormat="1" applyFont="1" applyFill="1" applyBorder="1" applyAlignment="1" applyProtection="1">
      <alignment horizontal="center"/>
      <protection hidden="1"/>
    </xf>
    <xf numFmtId="185" fontId="6" fillId="38" borderId="26" xfId="0" applyNumberFormat="1" applyFont="1" applyFill="1" applyBorder="1" applyAlignment="1" applyProtection="1">
      <alignment horizontal="center"/>
      <protection hidden="1"/>
    </xf>
    <xf numFmtId="185" fontId="6" fillId="38" borderId="27" xfId="0" applyNumberFormat="1" applyFont="1" applyFill="1" applyBorder="1" applyAlignment="1" applyProtection="1">
      <alignment horizontal="center"/>
      <protection hidden="1"/>
    </xf>
    <xf numFmtId="191" fontId="6" fillId="38" borderId="23" xfId="0" applyNumberFormat="1" applyFont="1" applyFill="1" applyBorder="1" applyAlignment="1" applyProtection="1">
      <alignment horizontal="center" vertical="center"/>
      <protection hidden="1"/>
    </xf>
    <xf numFmtId="191" fontId="6" fillId="38" borderId="26" xfId="0" applyNumberFormat="1" applyFont="1" applyFill="1" applyBorder="1" applyAlignment="1" applyProtection="1">
      <alignment horizontal="center" vertical="center"/>
      <protection hidden="1"/>
    </xf>
    <xf numFmtId="191" fontId="6" fillId="38" borderId="27" xfId="0" applyNumberFormat="1" applyFont="1" applyFill="1" applyBorder="1" applyAlignment="1" applyProtection="1">
      <alignment horizontal="center" vertical="center"/>
      <protection hidden="1"/>
    </xf>
    <xf numFmtId="0" fontId="25" fillId="33" borderId="12"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8" fillId="38" borderId="14" xfId="0" applyFont="1" applyFill="1" applyBorder="1" applyAlignment="1" applyProtection="1">
      <alignment horizontal="center" vertical="center"/>
      <protection hidden="1"/>
    </xf>
    <xf numFmtId="0" fontId="8" fillId="0" borderId="23"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185" fontId="6" fillId="0" borderId="23" xfId="0" applyNumberFormat="1" applyFont="1" applyFill="1" applyBorder="1" applyAlignment="1" applyProtection="1">
      <alignment horizontal="center" vertical="center"/>
      <protection locked="0"/>
    </xf>
    <xf numFmtId="185" fontId="6" fillId="0" borderId="26" xfId="0" applyNumberFormat="1" applyFont="1" applyFill="1" applyBorder="1" applyAlignment="1" applyProtection="1">
      <alignment horizontal="center" vertical="center"/>
      <protection locked="0"/>
    </xf>
    <xf numFmtId="185" fontId="6" fillId="0" borderId="27"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3"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14" fontId="0" fillId="0" borderId="23" xfId="0" applyNumberFormat="1"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0" xfId="0" applyAlignment="1" applyProtection="1">
      <alignment horizontal="left" vertical="center"/>
      <protection hidden="1"/>
    </xf>
    <xf numFmtId="0" fontId="16" fillId="33" borderId="23" xfId="44" applyFont="1" applyFill="1" applyBorder="1" applyAlignment="1" applyProtection="1">
      <alignment horizontal="left" vertical="center"/>
      <protection locked="0"/>
    </xf>
    <xf numFmtId="0" fontId="16" fillId="33" borderId="26" xfId="44" applyFont="1" applyFill="1" applyBorder="1" applyAlignment="1" applyProtection="1">
      <alignment horizontal="left" vertical="center"/>
      <protection locked="0"/>
    </xf>
    <xf numFmtId="0" fontId="16" fillId="33" borderId="27" xfId="44" applyFont="1" applyFill="1" applyBorder="1" applyAlignment="1" applyProtection="1">
      <alignment horizontal="left" vertical="center"/>
      <protection locked="0"/>
    </xf>
    <xf numFmtId="0" fontId="28" fillId="37" borderId="30" xfId="0" applyFont="1" applyFill="1" applyBorder="1" applyAlignment="1" applyProtection="1">
      <alignment horizontal="left" vertical="center"/>
      <protection hidden="1"/>
    </xf>
    <xf numFmtId="0" fontId="28" fillId="37" borderId="24" xfId="0" applyFont="1" applyFill="1" applyBorder="1" applyAlignment="1" applyProtection="1">
      <alignment horizontal="left" vertical="center"/>
      <protection hidden="1"/>
    </xf>
    <xf numFmtId="0" fontId="16" fillId="33" borderId="23" xfId="44"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23" fillId="0" borderId="0" xfId="0" applyFont="1" applyAlignment="1">
      <alignment horizontal="center"/>
    </xf>
    <xf numFmtId="0" fontId="25" fillId="0" borderId="0" xfId="0" applyFont="1" applyAlignment="1">
      <alignment horizontal="center"/>
    </xf>
    <xf numFmtId="0" fontId="1" fillId="33" borderId="23" xfId="0" applyFont="1" applyFill="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0" fillId="33" borderId="23" xfId="0" applyFont="1" applyFill="1" applyBorder="1" applyAlignment="1" applyProtection="1">
      <alignment horizontal="left" vertical="center"/>
      <protection locked="0"/>
    </xf>
    <xf numFmtId="0" fontId="115" fillId="42" borderId="109" xfId="0" applyFont="1" applyFill="1" applyBorder="1" applyAlignment="1">
      <alignment horizontal="center" vertical="center" textRotation="90"/>
    </xf>
    <xf numFmtId="0" fontId="115" fillId="42" borderId="84" xfId="0" applyFont="1" applyFill="1" applyBorder="1" applyAlignment="1">
      <alignment horizontal="center" vertical="center" textRotation="90"/>
    </xf>
    <xf numFmtId="0" fontId="115" fillId="42" borderId="85" xfId="0" applyFont="1" applyFill="1" applyBorder="1" applyAlignment="1">
      <alignment horizontal="center" vertical="center" textRotation="90"/>
    </xf>
    <xf numFmtId="0" fontId="115" fillId="42" borderId="84" xfId="0" applyFont="1" applyFill="1" applyBorder="1" applyAlignment="1">
      <alignment/>
    </xf>
    <xf numFmtId="0" fontId="115" fillId="42" borderId="85" xfId="0" applyFont="1" applyFill="1" applyBorder="1" applyAlignment="1">
      <alignment/>
    </xf>
    <xf numFmtId="0" fontId="0" fillId="0" borderId="23" xfId="0" applyBorder="1" applyAlignment="1" applyProtection="1">
      <alignment horizontal="center"/>
      <protection locked="0"/>
    </xf>
    <xf numFmtId="0" fontId="1" fillId="33" borderId="23" xfId="0" applyFont="1" applyFill="1" applyBorder="1" applyAlignment="1" applyProtection="1">
      <alignment horizontal="left" vertical="center"/>
      <protection locked="0"/>
    </xf>
    <xf numFmtId="0" fontId="1" fillId="33" borderId="26" xfId="0" applyFont="1" applyFill="1" applyBorder="1" applyAlignment="1" applyProtection="1">
      <alignment horizontal="left" vertical="center"/>
      <protection locked="0"/>
    </xf>
    <xf numFmtId="0" fontId="1" fillId="33" borderId="27" xfId="0" applyFont="1" applyFill="1" applyBorder="1" applyAlignment="1" applyProtection="1">
      <alignment horizontal="left" vertical="center"/>
      <protection locked="0"/>
    </xf>
    <xf numFmtId="0" fontId="0" fillId="33" borderId="23"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23" xfId="0" applyFont="1"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21" fillId="36" borderId="10" xfId="0" applyFont="1" applyFill="1" applyBorder="1" applyAlignment="1" applyProtection="1">
      <alignment horizontal="center" vertical="center" wrapText="1"/>
      <protection/>
    </xf>
    <xf numFmtId="0" fontId="21" fillId="36" borderId="11" xfId="0" applyFont="1" applyFill="1" applyBorder="1" applyAlignment="1" applyProtection="1">
      <alignment horizontal="center" vertical="center" wrapText="1"/>
      <protection/>
    </xf>
    <xf numFmtId="0" fontId="21" fillId="36" borderId="18" xfId="0" applyFont="1" applyFill="1" applyBorder="1" applyAlignment="1" applyProtection="1">
      <alignment horizontal="center" vertical="center" wrapText="1"/>
      <protection/>
    </xf>
    <xf numFmtId="14" fontId="6" fillId="0" borderId="23" xfId="0" applyNumberFormat="1"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0" fillId="33" borderId="23" xfId="0" applyFont="1"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116" fillId="42" borderId="116" xfId="0" applyFont="1" applyFill="1" applyBorder="1" applyAlignment="1">
      <alignment horizontal="center" vertical="center"/>
    </xf>
    <xf numFmtId="0" fontId="116" fillId="42" borderId="26" xfId="0" applyFont="1" applyFill="1" applyBorder="1" applyAlignment="1">
      <alignment horizontal="center" vertical="center"/>
    </xf>
    <xf numFmtId="0" fontId="116" fillId="42" borderId="117" xfId="0" applyFont="1" applyFill="1" applyBorder="1" applyAlignment="1">
      <alignment horizontal="center" vertical="center"/>
    </xf>
    <xf numFmtId="0" fontId="106" fillId="42" borderId="23" xfId="0" applyFont="1" applyFill="1" applyBorder="1" applyAlignment="1" applyProtection="1">
      <alignment horizontal="center"/>
      <protection hidden="1"/>
    </xf>
    <xf numFmtId="0" fontId="106" fillId="42" borderId="26" xfId="0" applyFont="1" applyFill="1" applyBorder="1" applyAlignment="1" applyProtection="1">
      <alignment horizontal="center"/>
      <protection hidden="1"/>
    </xf>
    <xf numFmtId="0" fontId="106" fillId="42" borderId="27" xfId="0" applyFont="1" applyFill="1" applyBorder="1" applyAlignment="1" applyProtection="1">
      <alignment horizontal="center"/>
      <protection hidden="1"/>
    </xf>
    <xf numFmtId="0" fontId="0" fillId="33" borderId="11" xfId="0" applyFill="1" applyBorder="1" applyAlignment="1" applyProtection="1">
      <alignment horizontal="center"/>
      <protection hidden="1"/>
    </xf>
    <xf numFmtId="0" fontId="6" fillId="33" borderId="0" xfId="0" applyFont="1" applyFill="1" applyAlignment="1" applyProtection="1">
      <alignment horizontal="left" vertical="center"/>
      <protection locked="0"/>
    </xf>
    <xf numFmtId="0" fontId="6" fillId="33" borderId="23" xfId="0" applyFont="1" applyFill="1" applyBorder="1" applyAlignment="1" applyProtection="1">
      <alignment horizontal="left" vertical="center"/>
      <protection locked="0"/>
    </xf>
    <xf numFmtId="0" fontId="6" fillId="33" borderId="26"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28" fillId="37" borderId="44" xfId="0" applyFont="1" applyFill="1" applyBorder="1" applyAlignment="1">
      <alignment horizontal="left" vertical="center"/>
    </xf>
    <xf numFmtId="0" fontId="28" fillId="37" borderId="0" xfId="0" applyFont="1" applyFill="1" applyAlignment="1">
      <alignment horizontal="left" vertical="center"/>
    </xf>
    <xf numFmtId="0" fontId="6" fillId="33" borderId="0" xfId="0" applyFont="1" applyFill="1" applyAlignment="1">
      <alignment horizontal="center" vertical="center"/>
    </xf>
    <xf numFmtId="0" fontId="6" fillId="33" borderId="0" xfId="0" applyFont="1" applyFill="1" applyBorder="1" applyAlignment="1" applyProtection="1">
      <alignment horizontal="center"/>
      <protection/>
    </xf>
    <xf numFmtId="0" fontId="16" fillId="33" borderId="26" xfId="44" applyFill="1" applyBorder="1" applyAlignment="1" applyProtection="1">
      <alignment horizontal="left" vertical="center"/>
      <protection locked="0"/>
    </xf>
    <xf numFmtId="0" fontId="16" fillId="33" borderId="27" xfId="44" applyFill="1" applyBorder="1" applyAlignment="1" applyProtection="1">
      <alignment horizontal="left" vertical="center"/>
      <protection locked="0"/>
    </xf>
    <xf numFmtId="14" fontId="6" fillId="0" borderId="23" xfId="0" applyNumberFormat="1" applyFont="1" applyFill="1" applyBorder="1" applyAlignment="1" applyProtection="1">
      <alignment horizontal="center"/>
      <protection locked="0"/>
    </xf>
    <xf numFmtId="0" fontId="6" fillId="33" borderId="23" xfId="0" applyFont="1" applyFill="1" applyBorder="1" applyAlignment="1" applyProtection="1">
      <alignment horizontal="left" vertical="center"/>
      <protection locked="0"/>
    </xf>
    <xf numFmtId="0" fontId="6" fillId="33" borderId="26"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28" fillId="37" borderId="0" xfId="0" applyFont="1" applyFill="1" applyAlignment="1" applyProtection="1">
      <alignment horizontal="left" vertical="center"/>
      <protection hidden="1"/>
    </xf>
    <xf numFmtId="3" fontId="32" fillId="33" borderId="0" xfId="0" applyNumberFormat="1" applyFont="1" applyFill="1" applyBorder="1" applyAlignment="1" applyProtection="1">
      <alignment horizontal="center" vertical="center"/>
      <protection hidden="1"/>
    </xf>
    <xf numFmtId="0" fontId="6" fillId="0" borderId="118" xfId="0" applyFont="1" applyFill="1" applyBorder="1" applyAlignment="1" applyProtection="1">
      <alignment horizontal="center" vertical="center"/>
      <protection hidden="1"/>
    </xf>
    <xf numFmtId="0" fontId="0" fillId="0" borderId="0" xfId="0" applyAlignment="1">
      <alignment horizontal="center" vertical="center" textRotation="90"/>
    </xf>
    <xf numFmtId="0" fontId="117" fillId="42" borderId="119" xfId="0" applyFont="1" applyFill="1" applyBorder="1" applyAlignment="1" applyProtection="1">
      <alignment horizontal="center"/>
      <protection/>
    </xf>
    <xf numFmtId="0" fontId="117" fillId="42" borderId="120" xfId="0" applyFont="1" applyFill="1" applyBorder="1" applyAlignment="1" applyProtection="1">
      <alignment horizontal="center"/>
      <protection/>
    </xf>
    <xf numFmtId="0" fontId="117" fillId="42" borderId="121" xfId="0" applyFont="1" applyFill="1" applyBorder="1" applyAlignment="1" applyProtection="1">
      <alignment horizontal="center"/>
      <protection/>
    </xf>
    <xf numFmtId="0" fontId="6" fillId="46" borderId="23" xfId="0" applyFont="1" applyFill="1" applyBorder="1" applyAlignment="1" applyProtection="1">
      <alignment horizontal="center"/>
      <protection/>
    </xf>
    <xf numFmtId="0" fontId="6" fillId="46" borderId="27" xfId="0" applyFont="1" applyFill="1" applyBorder="1" applyAlignment="1" applyProtection="1">
      <alignment horizontal="center"/>
      <protection/>
    </xf>
    <xf numFmtId="0" fontId="0" fillId="48" borderId="23" xfId="0" applyFill="1" applyBorder="1" applyAlignment="1" applyProtection="1">
      <alignment horizontal="center" vertical="center"/>
      <protection locked="0"/>
    </xf>
    <xf numFmtId="0" fontId="0" fillId="48" borderId="26" xfId="0" applyFill="1" applyBorder="1" applyAlignment="1" applyProtection="1">
      <alignment horizontal="center" vertical="center"/>
      <protection locked="0"/>
    </xf>
    <xf numFmtId="0" fontId="0" fillId="48" borderId="27" xfId="0"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105" fillId="33" borderId="19" xfId="0" applyFont="1" applyFill="1" applyBorder="1" applyAlignment="1" applyProtection="1">
      <alignment horizontal="center" vertical="center"/>
      <protection hidden="1"/>
    </xf>
    <xf numFmtId="0" fontId="106" fillId="42" borderId="40" xfId="0" applyFont="1" applyFill="1" applyBorder="1" applyAlignment="1" applyProtection="1">
      <alignment horizontal="center"/>
      <protection hidden="1"/>
    </xf>
    <xf numFmtId="0" fontId="106" fillId="42" borderId="42" xfId="0" applyFont="1" applyFill="1" applyBorder="1" applyAlignment="1" applyProtection="1">
      <alignment horizontal="center"/>
      <protection hidden="1"/>
    </xf>
    <xf numFmtId="0" fontId="106" fillId="42" borderId="14" xfId="0" applyFont="1" applyFill="1" applyBorder="1" applyAlignment="1" applyProtection="1">
      <alignment horizontal="center"/>
      <protection hidden="1"/>
    </xf>
    <xf numFmtId="0" fontId="13" fillId="33" borderId="23" xfId="0" applyFont="1" applyFill="1" applyBorder="1" applyAlignment="1" applyProtection="1">
      <alignment horizontal="center" vertical="center"/>
      <protection locked="0"/>
    </xf>
    <xf numFmtId="0" fontId="13" fillId="33" borderId="26" xfId="0" applyFont="1" applyFill="1" applyBorder="1" applyAlignment="1" applyProtection="1">
      <alignment horizontal="center" vertical="center"/>
      <protection locked="0"/>
    </xf>
    <xf numFmtId="0" fontId="13" fillId="33" borderId="27" xfId="0" applyFont="1" applyFill="1" applyBorder="1" applyAlignment="1" applyProtection="1">
      <alignment horizontal="center" vertical="center"/>
      <protection locked="0"/>
    </xf>
    <xf numFmtId="0" fontId="8" fillId="38" borderId="23" xfId="0" applyFont="1" applyFill="1" applyBorder="1" applyAlignment="1" applyProtection="1">
      <alignment horizontal="right" vertical="center"/>
      <protection hidden="1"/>
    </xf>
    <xf numFmtId="0" fontId="8" fillId="38" borderId="26" xfId="0" applyFont="1" applyFill="1" applyBorder="1" applyAlignment="1" applyProtection="1">
      <alignment horizontal="right" vertical="center"/>
      <protection hidden="1"/>
    </xf>
    <xf numFmtId="0" fontId="8" fillId="38" borderId="27" xfId="0" applyFont="1" applyFill="1" applyBorder="1" applyAlignment="1" applyProtection="1">
      <alignment horizontal="right" vertical="center"/>
      <protection hidden="1"/>
    </xf>
    <xf numFmtId="3" fontId="6" fillId="33" borderId="23" xfId="0" applyNumberFormat="1" applyFont="1" applyFill="1" applyBorder="1" applyAlignment="1" applyProtection="1">
      <alignment horizontal="center" vertical="center"/>
      <protection locked="0"/>
    </xf>
    <xf numFmtId="3" fontId="6" fillId="33" borderId="27" xfId="0" applyNumberFormat="1" applyFont="1" applyFill="1" applyBorder="1" applyAlignment="1" applyProtection="1">
      <alignment horizontal="center" vertical="center"/>
      <protection locked="0"/>
    </xf>
    <xf numFmtId="0" fontId="106" fillId="42" borderId="40" xfId="0" applyFont="1" applyFill="1" applyBorder="1" applyAlignment="1" applyProtection="1">
      <alignment horizontal="center" wrapText="1"/>
      <protection hidden="1"/>
    </xf>
    <xf numFmtId="0" fontId="106" fillId="42" borderId="34" xfId="0" applyFont="1" applyFill="1" applyBorder="1" applyAlignment="1" applyProtection="1">
      <alignment horizontal="center"/>
      <protection hidden="1"/>
    </xf>
    <xf numFmtId="0" fontId="106" fillId="42" borderId="30" xfId="0" applyFont="1" applyFill="1" applyBorder="1" applyAlignment="1" applyProtection="1">
      <alignment horizontal="center"/>
      <protection hidden="1"/>
    </xf>
    <xf numFmtId="0" fontId="106" fillId="42" borderId="24" xfId="0" applyFont="1" applyFill="1" applyBorder="1" applyAlignment="1" applyProtection="1">
      <alignment horizontal="center"/>
      <protection hidden="1"/>
    </xf>
    <xf numFmtId="0" fontId="106" fillId="42" borderId="31" xfId="0" applyFont="1" applyFill="1" applyBorder="1" applyAlignment="1" applyProtection="1">
      <alignment horizontal="center"/>
      <protection hidden="1"/>
    </xf>
    <xf numFmtId="0" fontId="106" fillId="42" borderId="30" xfId="0" applyFont="1" applyFill="1" applyBorder="1" applyAlignment="1" applyProtection="1">
      <alignment horizontal="center"/>
      <protection locked="0"/>
    </xf>
    <xf numFmtId="0" fontId="106" fillId="42" borderId="31" xfId="0" applyFont="1" applyFill="1" applyBorder="1" applyAlignment="1" applyProtection="1">
      <alignment horizontal="center"/>
      <protection locked="0"/>
    </xf>
    <xf numFmtId="0" fontId="6" fillId="33" borderId="14" xfId="0" applyFont="1" applyFill="1" applyBorder="1" applyAlignment="1" applyProtection="1">
      <alignment horizontal="center" vertical="center"/>
      <protection locked="0"/>
    </xf>
    <xf numFmtId="14" fontId="6" fillId="33" borderId="23" xfId="0" applyNumberFormat="1" applyFont="1" applyFill="1" applyBorder="1" applyAlignment="1" applyProtection="1">
      <alignment horizontal="center" vertical="center"/>
      <protection locked="0"/>
    </xf>
    <xf numFmtId="14" fontId="6" fillId="33" borderId="26" xfId="0" applyNumberFormat="1" applyFont="1" applyFill="1" applyBorder="1" applyAlignment="1" applyProtection="1">
      <alignment horizontal="center" vertical="center"/>
      <protection locked="0"/>
    </xf>
    <xf numFmtId="14" fontId="6" fillId="33"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center" wrapText="1"/>
      <protection hidden="1"/>
    </xf>
    <xf numFmtId="0" fontId="6" fillId="33" borderId="23" xfId="0"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protection locked="0"/>
    </xf>
    <xf numFmtId="182" fontId="6" fillId="33" borderId="23" xfId="0" applyNumberFormat="1" applyFont="1" applyFill="1" applyBorder="1" applyAlignment="1" applyProtection="1">
      <alignment horizontal="center" vertical="center"/>
      <protection locked="0"/>
    </xf>
    <xf numFmtId="182" fontId="6" fillId="33" borderId="26" xfId="0" applyNumberFormat="1" applyFont="1" applyFill="1" applyBorder="1" applyAlignment="1" applyProtection="1">
      <alignment horizontal="center" vertical="center"/>
      <protection locked="0"/>
    </xf>
    <xf numFmtId="182" fontId="6" fillId="33"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left"/>
      <protection hidden="1"/>
    </xf>
    <xf numFmtId="0" fontId="106" fillId="42" borderId="26" xfId="0" applyFont="1" applyFill="1" applyBorder="1" applyAlignment="1" applyProtection="1">
      <alignment horizontal="left"/>
      <protection hidden="1"/>
    </xf>
    <xf numFmtId="0" fontId="106" fillId="42" borderId="27" xfId="0" applyFont="1" applyFill="1" applyBorder="1" applyAlignment="1" applyProtection="1">
      <alignment horizontal="left"/>
      <protection hidden="1"/>
    </xf>
    <xf numFmtId="0" fontId="0" fillId="0" borderId="24" xfId="0" applyBorder="1" applyAlignment="1" applyProtection="1">
      <alignment/>
      <protection locked="0"/>
    </xf>
    <xf numFmtId="0" fontId="13" fillId="0" borderId="29"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6" fillId="0" borderId="24" xfId="0" applyFont="1" applyBorder="1" applyAlignment="1" applyProtection="1">
      <alignment horizontal="left"/>
      <protection hidden="1"/>
    </xf>
    <xf numFmtId="0" fontId="13" fillId="0" borderId="29" xfId="0" applyFon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13" fillId="0" borderId="44" xfId="0" applyFont="1"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13" fillId="0" borderId="23"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29"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wrapText="1"/>
      <protection hidden="1"/>
    </xf>
    <xf numFmtId="0" fontId="0" fillId="0" borderId="28" xfId="0" applyBorder="1" applyAlignment="1" applyProtection="1">
      <alignment horizontal="center" vertical="center"/>
      <protection hidden="1"/>
    </xf>
    <xf numFmtId="0" fontId="13" fillId="0" borderId="29" xfId="0" applyFont="1" applyBorder="1" applyAlignment="1" applyProtection="1">
      <alignment horizontal="center" vertical="center" textRotation="90"/>
      <protection hidden="1"/>
    </xf>
    <xf numFmtId="0" fontId="13" fillId="0" borderId="32" xfId="0" applyFont="1" applyBorder="1" applyAlignment="1" applyProtection="1">
      <alignment horizontal="center" vertical="center" textRotation="90"/>
      <protection hidden="1"/>
    </xf>
    <xf numFmtId="0" fontId="13" fillId="0" borderId="28" xfId="0" applyFont="1" applyBorder="1" applyAlignment="1" applyProtection="1">
      <alignment horizontal="center" vertical="center" textRotation="90"/>
      <protection hidden="1"/>
    </xf>
    <xf numFmtId="0" fontId="13" fillId="0" borderId="28"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wrapText="1"/>
      <protection hidden="1"/>
    </xf>
    <xf numFmtId="0" fontId="12" fillId="0" borderId="26" xfId="0" applyFont="1" applyBorder="1" applyAlignment="1" applyProtection="1">
      <alignment horizontal="center" vertical="center" wrapText="1"/>
      <protection hidden="1"/>
    </xf>
    <xf numFmtId="0" fontId="12" fillId="0" borderId="27" xfId="0" applyFont="1" applyBorder="1" applyAlignment="1" applyProtection="1">
      <alignment horizontal="center" vertical="center" wrapText="1"/>
      <protection hidden="1"/>
    </xf>
    <xf numFmtId="0" fontId="0" fillId="0" borderId="32" xfId="0" applyBorder="1" applyAlignment="1" applyProtection="1">
      <alignment horizontal="center" vertical="center" textRotation="90" wrapText="1"/>
      <protection hidden="1"/>
    </xf>
    <xf numFmtId="0" fontId="0" fillId="0" borderId="28" xfId="0" applyBorder="1" applyAlignment="1" applyProtection="1">
      <alignment horizontal="center" vertical="center" textRotation="90" wrapText="1"/>
      <protection hidden="1"/>
    </xf>
    <xf numFmtId="0" fontId="13" fillId="0" borderId="23" xfId="0" applyFont="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32" xfId="0" applyBorder="1" applyAlignment="1" applyProtection="1">
      <alignment horizontal="center" vertical="center"/>
      <protection hidden="1"/>
    </xf>
    <xf numFmtId="0" fontId="13" fillId="0" borderId="32"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32" fillId="0" borderId="0" xfId="0" applyFont="1" applyAlignment="1" applyProtection="1">
      <alignment horizontal="center"/>
      <protection hidden="1"/>
    </xf>
    <xf numFmtId="0" fontId="0" fillId="0" borderId="24" xfId="0" applyBorder="1" applyAlignment="1" applyProtection="1">
      <alignment horizontal="left"/>
      <protection hidden="1"/>
    </xf>
    <xf numFmtId="0" fontId="6" fillId="0" borderId="24" xfId="0" applyFont="1" applyBorder="1" applyAlignment="1" applyProtection="1">
      <alignment horizontal="left"/>
      <protection hidden="1"/>
    </xf>
    <xf numFmtId="0" fontId="0" fillId="0" borderId="23" xfId="0" applyFill="1" applyBorder="1" applyAlignment="1" applyProtection="1">
      <alignment horizontal="center"/>
      <protection hidden="1"/>
    </xf>
    <xf numFmtId="0" fontId="0" fillId="0" borderId="26" xfId="0" applyFill="1" applyBorder="1" applyAlignment="1" applyProtection="1">
      <alignment horizontal="center"/>
      <protection hidden="1"/>
    </xf>
    <xf numFmtId="0" fontId="0" fillId="0" borderId="27" xfId="0" applyFill="1" applyBorder="1" applyAlignment="1" applyProtection="1">
      <alignment horizontal="center"/>
      <protection hidden="1"/>
    </xf>
    <xf numFmtId="182" fontId="0" fillId="0" borderId="122" xfId="0" applyNumberFormat="1" applyFill="1" applyBorder="1" applyAlignment="1" applyProtection="1">
      <alignment horizontal="center" vertical="center"/>
      <protection hidden="1"/>
    </xf>
    <xf numFmtId="182" fontId="0" fillId="0" borderId="57" xfId="0" applyNumberFormat="1" applyFill="1" applyBorder="1" applyAlignment="1" applyProtection="1">
      <alignment horizontal="center" vertical="center"/>
      <protection hidden="1"/>
    </xf>
    <xf numFmtId="182" fontId="0" fillId="0" borderId="11" xfId="0" applyNumberFormat="1" applyFill="1" applyBorder="1" applyAlignment="1" applyProtection="1">
      <alignment horizontal="center"/>
      <protection hidden="1"/>
    </xf>
    <xf numFmtId="0" fontId="38" fillId="0" borderId="119" xfId="0" applyFont="1" applyFill="1" applyBorder="1" applyAlignment="1" applyProtection="1">
      <alignment horizontal="center" vertical="top"/>
      <protection hidden="1"/>
    </xf>
    <xf numFmtId="0" fontId="38" fillId="0" borderId="120" xfId="0" applyFont="1" applyFill="1" applyBorder="1" applyAlignment="1" applyProtection="1">
      <alignment horizontal="center" vertical="top"/>
      <protection hidden="1"/>
    </xf>
    <xf numFmtId="0" fontId="38" fillId="0" borderId="123" xfId="0" applyFont="1" applyFill="1" applyBorder="1" applyAlignment="1" applyProtection="1">
      <alignment horizontal="center" vertical="top"/>
      <protection hidden="1"/>
    </xf>
    <xf numFmtId="0" fontId="38" fillId="0" borderId="121" xfId="0" applyFont="1" applyFill="1" applyBorder="1" applyAlignment="1" applyProtection="1">
      <alignment horizontal="center" vertical="top"/>
      <protection hidden="1"/>
    </xf>
    <xf numFmtId="0" fontId="0" fillId="0" borderId="119" xfId="0" applyNumberFormat="1" applyFill="1" applyBorder="1" applyAlignment="1" applyProtection="1">
      <alignment horizontal="center"/>
      <protection hidden="1"/>
    </xf>
    <xf numFmtId="0" fontId="0" fillId="0" borderId="120" xfId="0" applyNumberFormat="1" applyFill="1" applyBorder="1" applyAlignment="1" applyProtection="1">
      <alignment horizontal="center"/>
      <protection hidden="1"/>
    </xf>
    <xf numFmtId="0" fontId="0" fillId="0" borderId="121" xfId="0" applyNumberFormat="1" applyFill="1" applyBorder="1" applyAlignment="1" applyProtection="1">
      <alignment horizontal="center"/>
      <protection hidden="1"/>
    </xf>
    <xf numFmtId="0" fontId="0" fillId="0" borderId="10" xfId="0" applyNumberFormat="1" applyFill="1" applyBorder="1" applyAlignment="1" applyProtection="1">
      <alignment horizontal="center"/>
      <protection hidden="1"/>
    </xf>
    <xf numFmtId="0" fontId="0" fillId="0" borderId="11" xfId="0" applyNumberFormat="1" applyFill="1" applyBorder="1" applyAlignment="1" applyProtection="1">
      <alignment horizontal="center"/>
      <protection hidden="1"/>
    </xf>
    <xf numFmtId="182" fontId="39" fillId="0" borderId="49" xfId="0" applyNumberFormat="1" applyFont="1" applyFill="1" applyBorder="1" applyAlignment="1" applyProtection="1">
      <alignment horizontal="center"/>
      <protection hidden="1"/>
    </xf>
    <xf numFmtId="182" fontId="39" fillId="0" borderId="124" xfId="0" applyNumberFormat="1" applyFont="1" applyFill="1" applyBorder="1" applyAlignment="1" applyProtection="1">
      <alignment horizontal="center"/>
      <protection hidden="1"/>
    </xf>
    <xf numFmtId="0" fontId="0" fillId="0" borderId="125" xfId="0" applyFill="1" applyBorder="1" applyAlignment="1" applyProtection="1">
      <alignment horizontal="center"/>
      <protection hidden="1"/>
    </xf>
    <xf numFmtId="0" fontId="0" fillId="0" borderId="19" xfId="0" applyFill="1" applyBorder="1" applyAlignment="1" applyProtection="1">
      <alignment horizontal="center"/>
      <protection hidden="1"/>
    </xf>
    <xf numFmtId="0" fontId="0" fillId="0" borderId="126" xfId="0" applyFill="1" applyBorder="1" applyAlignment="1" applyProtection="1">
      <alignment horizontal="center"/>
      <protection hidden="1"/>
    </xf>
    <xf numFmtId="0" fontId="0" fillId="0" borderId="127" xfId="0" applyFill="1" applyBorder="1" applyAlignment="1" applyProtection="1">
      <alignment horizontal="center" vertical="center"/>
      <protection hidden="1"/>
    </xf>
    <xf numFmtId="0" fontId="0" fillId="0" borderId="128" xfId="0" applyFill="1" applyBorder="1" applyAlignment="1" applyProtection="1">
      <alignment horizontal="center" vertical="center"/>
      <protection hidden="1"/>
    </xf>
    <xf numFmtId="0" fontId="39" fillId="0" borderId="116" xfId="0" applyFont="1" applyFill="1" applyBorder="1" applyAlignment="1" applyProtection="1">
      <alignment/>
      <protection hidden="1"/>
    </xf>
    <xf numFmtId="0" fontId="39" fillId="0" borderId="26" xfId="0" applyFont="1" applyFill="1" applyBorder="1" applyAlignment="1" applyProtection="1">
      <alignment/>
      <protection hidden="1"/>
    </xf>
    <xf numFmtId="0" fontId="39" fillId="0" borderId="117" xfId="0" applyFont="1" applyFill="1" applyBorder="1" applyAlignment="1" applyProtection="1">
      <alignment/>
      <protection hidden="1"/>
    </xf>
    <xf numFmtId="0" fontId="0" fillId="0" borderId="129" xfId="0" applyFill="1" applyBorder="1" applyAlignment="1" applyProtection="1">
      <alignment horizontal="center" vertical="center"/>
      <protection hidden="1"/>
    </xf>
    <xf numFmtId="0" fontId="0" fillId="0" borderId="130" xfId="0" applyFill="1" applyBorder="1" applyAlignment="1" applyProtection="1">
      <alignment horizontal="center" vertical="center"/>
      <protection hidden="1"/>
    </xf>
    <xf numFmtId="0" fontId="0" fillId="0" borderId="131"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2" fillId="0" borderId="15" xfId="0" applyFont="1" applyFill="1" applyBorder="1" applyAlignment="1" applyProtection="1">
      <alignment horizontal="right"/>
      <protection hidden="1"/>
    </xf>
    <xf numFmtId="0" fontId="2" fillId="0" borderId="16" xfId="0" applyFont="1" applyFill="1" applyBorder="1" applyAlignment="1" applyProtection="1">
      <alignment horizontal="right"/>
      <protection hidden="1"/>
    </xf>
    <xf numFmtId="182" fontId="2" fillId="0" borderId="132" xfId="0" applyNumberFormat="1" applyFont="1" applyFill="1" applyBorder="1" applyAlignment="1" applyProtection="1">
      <alignment horizontal="center"/>
      <protection hidden="1"/>
    </xf>
    <xf numFmtId="182" fontId="2" fillId="0" borderId="133" xfId="0" applyNumberFormat="1" applyFont="1" applyFill="1" applyBorder="1" applyAlignment="1" applyProtection="1">
      <alignment horizontal="center"/>
      <protection hidden="1"/>
    </xf>
    <xf numFmtId="182" fontId="2" fillId="0" borderId="114" xfId="0" applyNumberFormat="1" applyFont="1" applyFill="1" applyBorder="1" applyAlignment="1" applyProtection="1">
      <alignment horizontal="center"/>
      <protection hidden="1"/>
    </xf>
    <xf numFmtId="182" fontId="2" fillId="0" borderId="115" xfId="0" applyNumberFormat="1" applyFont="1" applyFill="1" applyBorder="1" applyAlignment="1" applyProtection="1">
      <alignment horizontal="center"/>
      <protection hidden="1"/>
    </xf>
    <xf numFmtId="182" fontId="2" fillId="0" borderId="118" xfId="0" applyNumberFormat="1" applyFont="1" applyFill="1" applyBorder="1" applyAlignment="1" applyProtection="1">
      <alignment horizontal="center"/>
      <protection hidden="1"/>
    </xf>
    <xf numFmtId="182" fontId="2" fillId="0" borderId="71" xfId="0" applyNumberFormat="1" applyFont="1" applyFill="1" applyBorder="1" applyAlignment="1" applyProtection="1">
      <alignment horizontal="center"/>
      <protection hidden="1"/>
    </xf>
    <xf numFmtId="0" fontId="21" fillId="0" borderId="134" xfId="0" applyFont="1" applyFill="1" applyBorder="1" applyAlignment="1" applyProtection="1">
      <alignment horizontal="right"/>
      <protection hidden="1"/>
    </xf>
    <xf numFmtId="0" fontId="21" fillId="0" borderId="67" xfId="0" applyFont="1" applyFill="1" applyBorder="1" applyAlignment="1" applyProtection="1">
      <alignment horizontal="right"/>
      <protection hidden="1"/>
    </xf>
    <xf numFmtId="0" fontId="21" fillId="0" borderId="63" xfId="0" applyFont="1" applyFill="1" applyBorder="1" applyAlignment="1" applyProtection="1">
      <alignment horizontal="right"/>
      <protection hidden="1"/>
    </xf>
    <xf numFmtId="182" fontId="39" fillId="0" borderId="135" xfId="0" applyNumberFormat="1" applyFont="1" applyFill="1" applyBorder="1" applyAlignment="1" applyProtection="1">
      <alignment horizontal="center"/>
      <protection hidden="1"/>
    </xf>
    <xf numFmtId="182" fontId="39" fillId="0" borderId="136" xfId="0" applyNumberFormat="1" applyFont="1" applyFill="1" applyBorder="1" applyAlignment="1" applyProtection="1">
      <alignment horizontal="center"/>
      <protection hidden="1"/>
    </xf>
    <xf numFmtId="0" fontId="0" fillId="0" borderId="26" xfId="0" applyBorder="1" applyAlignment="1" applyProtection="1">
      <alignment horizontal="left"/>
      <protection hidden="1"/>
    </xf>
    <xf numFmtId="0" fontId="24" fillId="0" borderId="24" xfId="0" applyFont="1" applyBorder="1" applyAlignment="1" applyProtection="1">
      <alignment horizontal="left"/>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3" xfId="53"/>
    <cellStyle name="Normal_Data" xfId="54"/>
    <cellStyle name="Normal_Feuil1"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50">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rgb="FFFF0000"/>
        </patternFill>
      </fill>
    </dxf>
    <dxf>
      <fill>
        <patternFill>
          <bgColor rgb="FFFFFFCC"/>
        </patternFill>
      </fill>
    </dxf>
    <dxf>
      <fill>
        <patternFill>
          <bgColor theme="0" tint="-0.24993999302387238"/>
        </patternFill>
      </fill>
    </dxf>
    <dxf>
      <fill>
        <patternFill>
          <bgColor rgb="FFFF0000"/>
        </patternFill>
      </fill>
    </dxf>
    <dxf>
      <fill>
        <patternFill>
          <bgColor rgb="FFFF00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indexed="26"/>
        </patternFill>
      </fill>
    </dxf>
    <dxf>
      <fill>
        <patternFill>
          <bgColor rgb="FFFF0000"/>
        </patternFill>
      </fill>
    </dxf>
    <dxf/>
    <dxf>
      <fill>
        <patternFill>
          <bgColor rgb="FFFF000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patternType="solid">
          <bgColor rgb="FFEDF0F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A1" /><Relationship Id="rId3" Type="http://schemas.openxmlformats.org/officeDocument/2006/relationships/image" Target="../media/image14.png" /><Relationship Id="rId4" Type="http://schemas.openxmlformats.org/officeDocument/2006/relationships/image" Target="../media/image6.png" /><Relationship Id="rId5" Type="http://schemas.openxmlformats.org/officeDocument/2006/relationships/image" Target="../media/image13.png" /><Relationship Id="rId6" Type="http://schemas.openxmlformats.org/officeDocument/2006/relationships/image" Target="../media/image12.png" /><Relationship Id="rId7" Type="http://schemas.openxmlformats.org/officeDocument/2006/relationships/image" Target="../media/image10.png" /><Relationship Id="rId8"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png" /><Relationship Id="rId4" Type="http://schemas.openxmlformats.org/officeDocument/2006/relationships/hyperlink" Target="#Instructions!A1" /><Relationship Id="rId5" Type="http://schemas.openxmlformats.org/officeDocument/2006/relationships/hyperlink" Target="https://transitionenergetique.gouv.qc.ca/fileadmin/medias/pdf/ecoperformance/EcoPerformance-guide-participant-implantation-simplifiee.pdf" TargetMode="External" /><Relationship Id="rId6" Type="http://schemas.openxmlformats.org/officeDocument/2006/relationships/image" Target="../media/image17.emf" /><Relationship Id="rId7" Type="http://schemas.openxmlformats.org/officeDocument/2006/relationships/image" Target="../media/image14.png" /><Relationship Id="rId8" Type="http://schemas.openxmlformats.org/officeDocument/2006/relationships/hyperlink" Target="#'Consommation actuelle'!B7" /><Relationship Id="rId9" Type="http://schemas.openxmlformats.org/officeDocument/2006/relationships/hyperlink" Target="#'Consommation actuelle'!B7"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A63" /><Relationship Id="rId3" Type="http://schemas.openxmlformats.org/officeDocument/2006/relationships/image" Target="../media/image14.png" /><Relationship Id="rId4" Type="http://schemas.openxmlformats.org/officeDocument/2006/relationships/hyperlink" Target="#Demande!A63"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6.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9525</xdr:rowOff>
    </xdr:from>
    <xdr:to>
      <xdr:col>10</xdr:col>
      <xdr:colOff>9525</xdr:colOff>
      <xdr:row>1</xdr:row>
      <xdr:rowOff>0</xdr:rowOff>
    </xdr:to>
    <xdr:sp>
      <xdr:nvSpPr>
        <xdr:cNvPr id="1" name="ZoneTexte 1"/>
        <xdr:cNvSpPr txBox="1">
          <a:spLocks noChangeArrowheads="1"/>
        </xdr:cNvSpPr>
      </xdr:nvSpPr>
      <xdr:spPr>
        <a:xfrm>
          <a:off x="1733550"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oneCell">
    <xdr:from>
      <xdr:col>0</xdr:col>
      <xdr:colOff>0</xdr:colOff>
      <xdr:row>0</xdr:row>
      <xdr:rowOff>0</xdr:rowOff>
    </xdr:from>
    <xdr:to>
      <xdr:col>3</xdr:col>
      <xdr:colOff>57150</xdr:colOff>
      <xdr:row>1</xdr:row>
      <xdr:rowOff>142875</xdr:rowOff>
    </xdr:to>
    <xdr:pic macro="[0]!macro100">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44</xdr:row>
      <xdr:rowOff>38100</xdr:rowOff>
    </xdr:from>
    <xdr:to>
      <xdr:col>10</xdr:col>
      <xdr:colOff>19050</xdr:colOff>
      <xdr:row>45</xdr:row>
      <xdr:rowOff>304800</xdr:rowOff>
    </xdr:to>
    <xdr:grpSp>
      <xdr:nvGrpSpPr>
        <xdr:cNvPr id="3" name="Groupe 25">
          <a:hlinkClick r:id="rId2"/>
        </xdr:cNvPr>
        <xdr:cNvGrpSpPr>
          <a:grpSpLocks/>
        </xdr:cNvGrpSpPr>
      </xdr:nvGrpSpPr>
      <xdr:grpSpPr>
        <a:xfrm>
          <a:off x="4943475" y="1429702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57150</xdr:colOff>
      <xdr:row>25</xdr:row>
      <xdr:rowOff>0</xdr:rowOff>
    </xdr:from>
    <xdr:to>
      <xdr:col>7</xdr:col>
      <xdr:colOff>400050</xdr:colOff>
      <xdr:row>26</xdr:row>
      <xdr:rowOff>0</xdr:rowOff>
    </xdr:to>
    <xdr:pic>
      <xdr:nvPicPr>
        <xdr:cNvPr id="6" name="Image 7"/>
        <xdr:cNvPicPr preferRelativeResize="1">
          <a:picLocks noChangeAspect="1"/>
        </xdr:cNvPicPr>
      </xdr:nvPicPr>
      <xdr:blipFill>
        <a:blip r:embed="rId4"/>
        <a:stretch>
          <a:fillRect/>
        </a:stretch>
      </xdr:blipFill>
      <xdr:spPr>
        <a:xfrm>
          <a:off x="209550" y="9934575"/>
          <a:ext cx="4914900" cy="323850"/>
        </a:xfrm>
        <a:prstGeom prst="rect">
          <a:avLst/>
        </a:prstGeom>
        <a:noFill/>
        <a:ln w="9525" cmpd="sng">
          <a:noFill/>
        </a:ln>
      </xdr:spPr>
    </xdr:pic>
    <xdr:clientData/>
  </xdr:twoCellAnchor>
  <xdr:oneCellAnchor>
    <xdr:from>
      <xdr:col>1</xdr:col>
      <xdr:colOff>114300</xdr:colOff>
      <xdr:row>21</xdr:row>
      <xdr:rowOff>57150</xdr:rowOff>
    </xdr:from>
    <xdr:ext cx="6734175" cy="1762125"/>
    <xdr:grpSp>
      <xdr:nvGrpSpPr>
        <xdr:cNvPr id="7" name="Groupe 23"/>
        <xdr:cNvGrpSpPr>
          <a:grpSpLocks/>
        </xdr:cNvGrpSpPr>
      </xdr:nvGrpSpPr>
      <xdr:grpSpPr>
        <a:xfrm>
          <a:off x="266700" y="7762875"/>
          <a:ext cx="6734175" cy="1762125"/>
          <a:chOff x="-6874494" y="5706812"/>
          <a:chExt cx="5799680" cy="1520930"/>
        </a:xfrm>
        <a:solidFill>
          <a:srgbClr val="FFFFFF"/>
        </a:solidFill>
      </xdr:grpSpPr>
      <xdr:pic>
        <xdr:nvPicPr>
          <xdr:cNvPr id="8" name="Image 30"/>
          <xdr:cNvPicPr preferRelativeResize="1">
            <a:picLocks noChangeAspect="1"/>
          </xdr:cNvPicPr>
        </xdr:nvPicPr>
        <xdr:blipFill>
          <a:blip r:embed="rId5"/>
          <a:stretch>
            <a:fillRect/>
          </a:stretch>
        </xdr:blipFill>
        <xdr:spPr>
          <a:xfrm>
            <a:off x="-6874494" y="5620880"/>
            <a:ext cx="5898275" cy="1607243"/>
          </a:xfrm>
          <a:prstGeom prst="rect">
            <a:avLst/>
          </a:prstGeom>
          <a:noFill/>
          <a:ln w="9525" cmpd="sng">
            <a:noFill/>
          </a:ln>
        </xdr:spPr>
      </xdr:pic>
      <xdr:sp>
        <xdr:nvSpPr>
          <xdr:cNvPr id="9" name="Connecteur droit 31"/>
          <xdr:cNvSpPr>
            <a:spLocks/>
          </xdr:cNvSpPr>
        </xdr:nvSpPr>
        <xdr:spPr>
          <a:xfrm>
            <a:off x="-5972644" y="6125448"/>
            <a:ext cx="926499"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114300</xdr:colOff>
      <xdr:row>33</xdr:row>
      <xdr:rowOff>66675</xdr:rowOff>
    </xdr:from>
    <xdr:ext cx="3619500" cy="1543050"/>
    <xdr:grpSp>
      <xdr:nvGrpSpPr>
        <xdr:cNvPr id="10" name="Groupe 28"/>
        <xdr:cNvGrpSpPr>
          <a:grpSpLocks/>
        </xdr:cNvGrpSpPr>
      </xdr:nvGrpSpPr>
      <xdr:grpSpPr>
        <a:xfrm>
          <a:off x="266700" y="12030075"/>
          <a:ext cx="3619500" cy="1543050"/>
          <a:chOff x="144779" y="7078379"/>
          <a:chExt cx="3634545" cy="1555221"/>
        </a:xfrm>
        <a:solidFill>
          <a:srgbClr val="FFFFFF"/>
        </a:solidFill>
      </xdr:grpSpPr>
      <xdr:pic>
        <xdr:nvPicPr>
          <xdr:cNvPr id="11" name="Image 36"/>
          <xdr:cNvPicPr preferRelativeResize="1">
            <a:picLocks noChangeAspect="1"/>
          </xdr:cNvPicPr>
        </xdr:nvPicPr>
        <xdr:blipFill>
          <a:blip r:embed="rId6"/>
          <a:stretch>
            <a:fillRect/>
          </a:stretch>
        </xdr:blipFill>
        <xdr:spPr>
          <a:xfrm>
            <a:off x="144779" y="6978457"/>
            <a:ext cx="3749033" cy="1655533"/>
          </a:xfrm>
          <a:prstGeom prst="rect">
            <a:avLst/>
          </a:prstGeom>
          <a:noFill/>
          <a:ln w="9525" cmpd="sng">
            <a:noFill/>
          </a:ln>
        </xdr:spPr>
      </xdr:pic>
      <xdr:sp>
        <xdr:nvSpPr>
          <xdr:cNvPr id="12" name="Rectangle 37"/>
          <xdr:cNvSpPr>
            <a:spLocks/>
          </xdr:cNvSpPr>
        </xdr:nvSpPr>
        <xdr:spPr>
          <a:xfrm>
            <a:off x="736301" y="7899147"/>
            <a:ext cx="295307" cy="314932"/>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47625</xdr:colOff>
      <xdr:row>8</xdr:row>
      <xdr:rowOff>0</xdr:rowOff>
    </xdr:from>
    <xdr:to>
      <xdr:col>8</xdr:col>
      <xdr:colOff>428625</xdr:colOff>
      <xdr:row>9</xdr:row>
      <xdr:rowOff>0</xdr:rowOff>
    </xdr:to>
    <xdr:pic>
      <xdr:nvPicPr>
        <xdr:cNvPr id="13" name="Image 6"/>
        <xdr:cNvPicPr preferRelativeResize="1">
          <a:picLocks noChangeAspect="1"/>
        </xdr:cNvPicPr>
      </xdr:nvPicPr>
      <xdr:blipFill>
        <a:blip r:embed="rId7"/>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142875</xdr:colOff>
      <xdr:row>13</xdr:row>
      <xdr:rowOff>0</xdr:rowOff>
    </xdr:from>
    <xdr:to>
      <xdr:col>4</xdr:col>
      <xdr:colOff>438150</xdr:colOff>
      <xdr:row>13</xdr:row>
      <xdr:rowOff>2790825</xdr:rowOff>
    </xdr:to>
    <xdr:pic>
      <xdr:nvPicPr>
        <xdr:cNvPr id="14" name="Image 3"/>
        <xdr:cNvPicPr preferRelativeResize="1">
          <a:picLocks noChangeAspect="1"/>
        </xdr:cNvPicPr>
      </xdr:nvPicPr>
      <xdr:blipFill>
        <a:blip r:embed="rId8"/>
        <a:stretch>
          <a:fillRect/>
        </a:stretch>
      </xdr:blipFill>
      <xdr:spPr>
        <a:xfrm>
          <a:off x="295275" y="3305175"/>
          <a:ext cx="2581275"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46</xdr:row>
      <xdr:rowOff>0</xdr:rowOff>
    </xdr:from>
    <xdr:to>
      <xdr:col>1</xdr:col>
      <xdr:colOff>714375</xdr:colOff>
      <xdr:row>46</xdr:row>
      <xdr:rowOff>0</xdr:rowOff>
    </xdr:to>
    <xdr:pic>
      <xdr:nvPicPr>
        <xdr:cNvPr id="1" name="CheckBox1"/>
        <xdr:cNvPicPr preferRelativeResize="1">
          <a:picLocks noChangeAspect="0"/>
        </xdr:cNvPicPr>
      </xdr:nvPicPr>
      <xdr:blipFill>
        <a:blip r:embed="rId1"/>
        <a:stretch>
          <a:fillRect/>
        </a:stretch>
      </xdr:blipFill>
      <xdr:spPr>
        <a:xfrm>
          <a:off x="190500" y="9801225"/>
          <a:ext cx="676275" cy="0"/>
        </a:xfrm>
        <a:prstGeom prst="rect">
          <a:avLst/>
        </a:prstGeom>
        <a:noFill/>
        <a:ln w="9525" cmpd="sng">
          <a:noFill/>
        </a:ln>
      </xdr:spPr>
    </xdr:pic>
    <xdr:clientData/>
  </xdr:twoCellAnchor>
  <xdr:twoCellAnchor>
    <xdr:from>
      <xdr:col>2</xdr:col>
      <xdr:colOff>114300</xdr:colOff>
      <xdr:row>46</xdr:row>
      <xdr:rowOff>0</xdr:rowOff>
    </xdr:from>
    <xdr:to>
      <xdr:col>6</xdr:col>
      <xdr:colOff>704850</xdr:colOff>
      <xdr:row>46</xdr:row>
      <xdr:rowOff>0</xdr:rowOff>
    </xdr:to>
    <xdr:pic>
      <xdr:nvPicPr>
        <xdr:cNvPr id="2" name="CheckBox2"/>
        <xdr:cNvPicPr preferRelativeResize="1">
          <a:picLocks noChangeAspect="0"/>
        </xdr:cNvPicPr>
      </xdr:nvPicPr>
      <xdr:blipFill>
        <a:blip r:embed="rId2"/>
        <a:stretch>
          <a:fillRect/>
        </a:stretch>
      </xdr:blipFill>
      <xdr:spPr>
        <a:xfrm>
          <a:off x="981075" y="9801225"/>
          <a:ext cx="3476625" cy="0"/>
        </a:xfrm>
        <a:prstGeom prst="rect">
          <a:avLst/>
        </a:prstGeom>
        <a:noFill/>
        <a:ln w="9525" cmpd="sng">
          <a:noFill/>
        </a:ln>
      </xdr:spPr>
    </xdr:pic>
    <xdr:clientData/>
  </xdr:twoCellAnchor>
  <xdr:twoCellAnchor>
    <xdr:from>
      <xdr:col>3</xdr:col>
      <xdr:colOff>161925</xdr:colOff>
      <xdr:row>0</xdr:row>
      <xdr:rowOff>9525</xdr:rowOff>
    </xdr:from>
    <xdr:to>
      <xdr:col>10</xdr:col>
      <xdr:colOff>9525</xdr:colOff>
      <xdr:row>1</xdr:row>
      <xdr:rowOff>0</xdr:rowOff>
    </xdr:to>
    <xdr:sp>
      <xdr:nvSpPr>
        <xdr:cNvPr id="3" name="ZoneTexte 1"/>
        <xdr:cNvSpPr txBox="1">
          <a:spLocks noChangeArrowheads="1"/>
        </xdr:cNvSpPr>
      </xdr:nvSpPr>
      <xdr:spPr>
        <a:xfrm>
          <a:off x="1743075" y="9525"/>
          <a:ext cx="50768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oneCell">
    <xdr:from>
      <xdr:col>0</xdr:col>
      <xdr:colOff>0</xdr:colOff>
      <xdr:row>0</xdr:row>
      <xdr:rowOff>0</xdr:rowOff>
    </xdr:from>
    <xdr:to>
      <xdr:col>3</xdr:col>
      <xdr:colOff>161925</xdr:colOff>
      <xdr:row>1</xdr:row>
      <xdr:rowOff>142875</xdr:rowOff>
    </xdr:to>
    <xdr:pic>
      <xdr:nvPicPr>
        <xdr:cNvPr id="4" name="Image 3"/>
        <xdr:cNvPicPr preferRelativeResize="1">
          <a:picLocks noChangeAspect="1"/>
        </xdr:cNvPicPr>
      </xdr:nvPicPr>
      <xdr:blipFill>
        <a:blip r:embed="rId3"/>
        <a:stretch>
          <a:fillRect/>
        </a:stretch>
      </xdr:blipFill>
      <xdr:spPr>
        <a:xfrm>
          <a:off x="0" y="0"/>
          <a:ext cx="1743075" cy="904875"/>
        </a:xfrm>
        <a:prstGeom prst="rect">
          <a:avLst/>
        </a:prstGeom>
        <a:noFill/>
        <a:ln w="9525" cmpd="sng">
          <a:noFill/>
        </a:ln>
      </xdr:spPr>
    </xdr:pic>
    <xdr:clientData/>
  </xdr:twoCellAnchor>
  <xdr:oneCellAnchor>
    <xdr:from>
      <xdr:col>3</xdr:col>
      <xdr:colOff>371475</xdr:colOff>
      <xdr:row>2</xdr:row>
      <xdr:rowOff>0</xdr:rowOff>
    </xdr:from>
    <xdr:ext cx="742950" cy="152400"/>
    <xdr:sp>
      <xdr:nvSpPr>
        <xdr:cNvPr id="5" name="Rectangle 3">
          <a:hlinkClick r:id="rId4"/>
        </xdr:cNvPr>
        <xdr:cNvSpPr>
          <a:spLocks/>
        </xdr:cNvSpPr>
      </xdr:nvSpPr>
      <xdr:spPr>
        <a:xfrm>
          <a:off x="1952625" y="990600"/>
          <a:ext cx="74295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523875</xdr:colOff>
      <xdr:row>2</xdr:row>
      <xdr:rowOff>0</xdr:rowOff>
    </xdr:from>
    <xdr:ext cx="1143000" cy="152400"/>
    <xdr:sp>
      <xdr:nvSpPr>
        <xdr:cNvPr id="6" name="Rectangle 4">
          <a:hlinkClick r:id="rId5"/>
        </xdr:cNvPr>
        <xdr:cNvSpPr>
          <a:spLocks/>
        </xdr:cNvSpPr>
      </xdr:nvSpPr>
      <xdr:spPr>
        <a:xfrm>
          <a:off x="3562350" y="990600"/>
          <a:ext cx="114300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66675</xdr:colOff>
      <xdr:row>59</xdr:row>
      <xdr:rowOff>0</xdr:rowOff>
    </xdr:from>
    <xdr:to>
      <xdr:col>3</xdr:col>
      <xdr:colOff>647700</xdr:colOff>
      <xdr:row>59</xdr:row>
      <xdr:rowOff>0</xdr:rowOff>
    </xdr:to>
    <xdr:pic>
      <xdr:nvPicPr>
        <xdr:cNvPr id="7" name="CheckBox11"/>
        <xdr:cNvPicPr preferRelativeResize="1">
          <a:picLocks noChangeAspect="0"/>
        </xdr:cNvPicPr>
      </xdr:nvPicPr>
      <xdr:blipFill>
        <a:blip r:embed="rId6"/>
        <a:stretch>
          <a:fillRect/>
        </a:stretch>
      </xdr:blipFill>
      <xdr:spPr>
        <a:xfrm>
          <a:off x="219075" y="12306300"/>
          <a:ext cx="2009775" cy="0"/>
        </a:xfrm>
        <a:prstGeom prst="rect">
          <a:avLst/>
        </a:prstGeom>
        <a:noFill/>
        <a:ln w="9525" cmpd="sng">
          <a:noFill/>
        </a:ln>
      </xdr:spPr>
    </xdr:pic>
    <xdr:clientData/>
  </xdr:twoCellAnchor>
  <xdr:twoCellAnchor>
    <xdr:from>
      <xdr:col>5</xdr:col>
      <xdr:colOff>600075</xdr:colOff>
      <xdr:row>53</xdr:row>
      <xdr:rowOff>180975</xdr:rowOff>
    </xdr:from>
    <xdr:to>
      <xdr:col>6</xdr:col>
      <xdr:colOff>209550</xdr:colOff>
      <xdr:row>55</xdr:row>
      <xdr:rowOff>28575</xdr:rowOff>
    </xdr:to>
    <xdr:pic>
      <xdr:nvPicPr>
        <xdr:cNvPr id="8" name="Graphique 23" descr="Flèche : courbe légère avec un remplissage uni">
          <a:hlinkClick r:id="rId9"/>
        </xdr:cNvPr>
        <xdr:cNvPicPr preferRelativeResize="1">
          <a:picLocks noChangeAspect="0"/>
        </xdr:cNvPicPr>
      </xdr:nvPicPr>
      <xdr:blipFill>
        <a:blip r:embed="rId7"/>
        <a:stretch>
          <a:fillRect/>
        </a:stretch>
      </xdr:blipFill>
      <xdr:spPr>
        <a:xfrm>
          <a:off x="3638550" y="11306175"/>
          <a:ext cx="323850" cy="2952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xdr:colOff>
      <xdr:row>0</xdr:row>
      <xdr:rowOff>9525</xdr:rowOff>
    </xdr:from>
    <xdr:to>
      <xdr:col>10</xdr:col>
      <xdr:colOff>9525</xdr:colOff>
      <xdr:row>1</xdr:row>
      <xdr:rowOff>0</xdr:rowOff>
    </xdr:to>
    <xdr:sp>
      <xdr:nvSpPr>
        <xdr:cNvPr id="1" name="ZoneTexte 1"/>
        <xdr:cNvSpPr txBox="1">
          <a:spLocks noChangeArrowheads="1"/>
        </xdr:cNvSpPr>
      </xdr:nvSpPr>
      <xdr:spPr>
        <a:xfrm>
          <a:off x="1752600" y="9525"/>
          <a:ext cx="5810250"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absolute">
    <xdr:from>
      <xdr:col>0</xdr:col>
      <xdr:colOff>0</xdr:colOff>
      <xdr:row>0</xdr:row>
      <xdr:rowOff>0</xdr:rowOff>
    </xdr:from>
    <xdr:to>
      <xdr:col>3</xdr:col>
      <xdr:colOff>66675</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43075" cy="904875"/>
        </a:xfrm>
        <a:prstGeom prst="rect">
          <a:avLst/>
        </a:prstGeom>
        <a:noFill/>
        <a:ln w="9525" cmpd="sng">
          <a:noFill/>
        </a:ln>
      </xdr:spPr>
    </xdr:pic>
    <xdr:clientData/>
  </xdr:twoCellAnchor>
  <xdr:twoCellAnchor>
    <xdr:from>
      <xdr:col>7</xdr:col>
      <xdr:colOff>28575</xdr:colOff>
      <xdr:row>0</xdr:row>
      <xdr:rowOff>752475</xdr:rowOff>
    </xdr:from>
    <xdr:to>
      <xdr:col>10</xdr:col>
      <xdr:colOff>200025</xdr:colOff>
      <xdr:row>3</xdr:row>
      <xdr:rowOff>66675</xdr:rowOff>
    </xdr:to>
    <xdr:grpSp>
      <xdr:nvGrpSpPr>
        <xdr:cNvPr id="3" name="Groupe 5">
          <a:hlinkClick r:id="rId2"/>
        </xdr:cNvPr>
        <xdr:cNvGrpSpPr>
          <a:grpSpLocks/>
        </xdr:cNvGrpSpPr>
      </xdr:nvGrpSpPr>
      <xdr:grpSpPr>
        <a:xfrm>
          <a:off x="5295900" y="752475"/>
          <a:ext cx="2457450" cy="457200"/>
          <a:chOff x="4631348" y="769328"/>
          <a:chExt cx="2453782" cy="457200"/>
        </a:xfrm>
        <a:solidFill>
          <a:srgbClr val="FFFFFF"/>
        </a:solidFill>
      </xdr:grpSpPr>
      <xdr:sp>
        <xdr:nvSpPr>
          <xdr:cNvPr id="4" name="ZoneTexte 4"/>
          <xdr:cNvSpPr txBox="1">
            <a:spLocks noChangeArrowheads="1"/>
          </xdr:cNvSpPr>
        </xdr:nvSpPr>
        <xdr:spPr>
          <a:xfrm>
            <a:off x="5097567" y="883628"/>
            <a:ext cx="1987563" cy="190538"/>
          </a:xfrm>
          <a:prstGeom prst="rect">
            <a:avLst/>
          </a:prstGeom>
          <a:solidFill>
            <a:srgbClr val="FFFFFF"/>
          </a:solid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Retourner à l'onglet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Demande</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flipH="1">
            <a:off x="4631348" y="769328"/>
            <a:ext cx="399966" cy="457200"/>
          </a:xfrm>
          <a:prstGeom prst="rect">
            <a:avLst/>
          </a:prstGeom>
          <a:noFill/>
          <a:ln w="9525" cmpd="sng">
            <a:noFill/>
          </a:ln>
        </xdr:spPr>
      </xdr:pic>
    </xdr:grpSp>
    <xdr:clientData fPrintsWithSheet="0"/>
  </xdr:twoCellAnchor>
  <xdr:twoCellAnchor>
    <xdr:from>
      <xdr:col>7</xdr:col>
      <xdr:colOff>28575</xdr:colOff>
      <xdr:row>63</xdr:row>
      <xdr:rowOff>57150</xdr:rowOff>
    </xdr:from>
    <xdr:to>
      <xdr:col>10</xdr:col>
      <xdr:colOff>200025</xdr:colOff>
      <xdr:row>65</xdr:row>
      <xdr:rowOff>133350</xdr:rowOff>
    </xdr:to>
    <xdr:grpSp>
      <xdr:nvGrpSpPr>
        <xdr:cNvPr id="6" name="Groupe 12"/>
        <xdr:cNvGrpSpPr>
          <a:grpSpLocks/>
        </xdr:cNvGrpSpPr>
      </xdr:nvGrpSpPr>
      <xdr:grpSpPr>
        <a:xfrm>
          <a:off x="5295900" y="12868275"/>
          <a:ext cx="2457450" cy="457200"/>
          <a:chOff x="4631348" y="769328"/>
          <a:chExt cx="2453782" cy="457200"/>
        </a:xfrm>
        <a:solidFill>
          <a:srgbClr val="FFFFFF"/>
        </a:solidFill>
      </xdr:grpSpPr>
      <xdr:sp>
        <xdr:nvSpPr>
          <xdr:cNvPr id="7" name="ZoneTexte 7">
            <a:hlinkClick r:id="rId4"/>
          </xdr:cNvPr>
          <xdr:cNvSpPr txBox="1">
            <a:spLocks noChangeArrowheads="1"/>
          </xdr:cNvSpPr>
        </xdr:nvSpPr>
        <xdr:spPr>
          <a:xfrm>
            <a:off x="5097567" y="883628"/>
            <a:ext cx="1987563" cy="190538"/>
          </a:xfrm>
          <a:prstGeom prst="rect">
            <a:avLst/>
          </a:prstGeom>
          <a:solidFill>
            <a:srgbClr val="FFFFFF"/>
          </a:solid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Retourner à l'onglet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Demande</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flipH="1">
            <a:off x="4631348" y="769328"/>
            <a:ext cx="399966" cy="457200"/>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7</xdr:col>
      <xdr:colOff>38100</xdr:colOff>
      <xdr:row>5</xdr:row>
      <xdr:rowOff>0</xdr:rowOff>
    </xdr:to>
    <xdr:sp>
      <xdr:nvSpPr>
        <xdr:cNvPr id="1" name="Text Box 33"/>
        <xdr:cNvSpPr txBox="1">
          <a:spLocks noChangeArrowheads="1"/>
        </xdr:cNvSpPr>
      </xdr:nvSpPr>
      <xdr:spPr>
        <a:xfrm>
          <a:off x="571500" y="1095375"/>
          <a:ext cx="6953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38100</xdr:colOff>
      <xdr:row>279</xdr:row>
      <xdr:rowOff>0</xdr:rowOff>
    </xdr:from>
    <xdr:ext cx="76200" cy="200025"/>
    <xdr:sp fLocksText="0">
      <xdr:nvSpPr>
        <xdr:cNvPr id="2" name="Text Box 290"/>
        <xdr:cNvSpPr txBox="1">
          <a:spLocks noChangeArrowheads="1"/>
        </xdr:cNvSpPr>
      </xdr:nvSpPr>
      <xdr:spPr>
        <a:xfrm>
          <a:off x="3276600" y="1372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43</xdr:col>
      <xdr:colOff>0</xdr:colOff>
      <xdr:row>17</xdr:row>
      <xdr:rowOff>533400</xdr:rowOff>
    </xdr:to>
    <xdr:sp fLocksText="0">
      <xdr:nvSpPr>
        <xdr:cNvPr id="3" name="Descriptif_Organisme"/>
        <xdr:cNvSpPr txBox="1">
          <a:spLocks noChangeArrowheads="1"/>
        </xdr:cNvSpPr>
      </xdr:nvSpPr>
      <xdr:spPr>
        <a:xfrm>
          <a:off x="361950" y="1905000"/>
          <a:ext cx="8496300" cy="533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fLocksWithSheet="0"/>
  </xdr:twoCellAnchor>
  <xdr:twoCellAnchor>
    <xdr:from>
      <xdr:col>3</xdr:col>
      <xdr:colOff>0</xdr:colOff>
      <xdr:row>141</xdr:row>
      <xdr:rowOff>0</xdr:rowOff>
    </xdr:from>
    <xdr:to>
      <xdr:col>43</xdr:col>
      <xdr:colOff>0</xdr:colOff>
      <xdr:row>146</xdr:row>
      <xdr:rowOff>0</xdr:rowOff>
    </xdr:to>
    <xdr:sp fLocksText="0" textlink="$AT$142">
      <xdr:nvSpPr>
        <xdr:cNvPr id="4" name="Descriptif_Projet"/>
        <xdr:cNvSpPr txBox="1">
          <a:spLocks noChangeArrowheads="1"/>
        </xdr:cNvSpPr>
      </xdr:nvSpPr>
      <xdr:spPr>
        <a:xfrm>
          <a:off x="361950" y="9620250"/>
          <a:ext cx="8496300" cy="809625"/>
        </a:xfrm>
        <a:prstGeom prst="rect">
          <a:avLst/>
        </a:prstGeom>
        <a:solidFill>
          <a:srgbClr val="FFFFCC"/>
        </a:solidFill>
        <a:ln w="9525" cmpd="sng">
          <a:solidFill>
            <a:srgbClr val="000000"/>
          </a:solidFill>
          <a:headEnd type="none"/>
          <a:tailEnd type="none"/>
        </a:ln>
      </xdr:spPr>
      <xdr:txBody>
        <a:bodyPr vertOverflow="clip" wrap="square"/>
        <a:p>
          <a:pPr algn="l">
            <a:defRPr/>
          </a:pPr>
          <a:fld id="{8515c545-7bbb-422f-aa4a-277c4a9ec84c}" type="TxLink">
            <a:rPr lang="en-US" cap="none" sz="1000" b="0" i="0" u="none" baseline="0">
              <a:solidFill>
                <a:srgbClr val="000000"/>
              </a:solidFill>
              <a:latin typeface="Arial"/>
              <a:ea typeface="Arial"/>
              <a:cs typeface="Arial"/>
            </a:rPr>
            <a:t>#N/A</a:t>
          </a:fld>
        </a:p>
      </xdr:txBody>
    </xdr:sp>
    <xdr:clientData fLocksWithSheet="0"/>
  </xdr:twoCellAnchor>
  <xdr:twoCellAnchor>
    <xdr:from>
      <xdr:col>39</xdr:col>
      <xdr:colOff>66675</xdr:colOff>
      <xdr:row>181</xdr:row>
      <xdr:rowOff>0</xdr:rowOff>
    </xdr:from>
    <xdr:to>
      <xdr:col>44</xdr:col>
      <xdr:colOff>0</xdr:colOff>
      <xdr:row>181</xdr:row>
      <xdr:rowOff>0</xdr:rowOff>
    </xdr:to>
    <xdr:sp>
      <xdr:nvSpPr>
        <xdr:cNvPr id="5" name="Text Box 46"/>
        <xdr:cNvSpPr txBox="1">
          <a:spLocks noChangeArrowheads="1"/>
        </xdr:cNvSpPr>
      </xdr:nvSpPr>
      <xdr:spPr>
        <a:xfrm>
          <a:off x="7972425" y="13563600"/>
          <a:ext cx="10001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3</xdr:col>
      <xdr:colOff>0</xdr:colOff>
      <xdr:row>79</xdr:row>
      <xdr:rowOff>0</xdr:rowOff>
    </xdr:from>
    <xdr:to>
      <xdr:col>43</xdr:col>
      <xdr:colOff>0</xdr:colOff>
      <xdr:row>79</xdr:row>
      <xdr:rowOff>685800</xdr:rowOff>
    </xdr:to>
    <xdr:sp fLocksText="0" textlink="$H$72">
      <xdr:nvSpPr>
        <xdr:cNvPr id="6" name="Descriptif_Site"/>
        <xdr:cNvSpPr txBox="1">
          <a:spLocks noChangeArrowheads="1"/>
        </xdr:cNvSpPr>
      </xdr:nvSpPr>
      <xdr:spPr>
        <a:xfrm>
          <a:off x="361950" y="5857875"/>
          <a:ext cx="8496300" cy="685800"/>
        </a:xfrm>
        <a:prstGeom prst="rect">
          <a:avLst/>
        </a:prstGeom>
        <a:solidFill>
          <a:srgbClr val="FFFFCC"/>
        </a:solidFill>
        <a:ln w="9525" cmpd="sng">
          <a:solidFill>
            <a:srgbClr val="000000"/>
          </a:solidFill>
          <a:headEnd type="none"/>
          <a:tailEnd type="none"/>
        </a:ln>
      </xdr:spPr>
      <xdr:txBody>
        <a:bodyPr vertOverflow="clip" wrap="square"/>
        <a:p>
          <a:pPr algn="l">
            <a:defRPr/>
          </a:pPr>
          <a:fld id="{5daaf4e9-2b05-436d-9fcb-6f510155cff2}" type="TxLink">
            <a:rPr lang="en-US" cap="none" sz="900" b="0" i="0" u="none" baseline="0">
              <a:solidFill>
                <a:srgbClr val="000000"/>
              </a:solidFill>
              <a:latin typeface="Arial"/>
              <a:ea typeface="Arial"/>
              <a:cs typeface="Arial"/>
            </a:rPr>
            <a:t> </a:t>
          </a:fld>
        </a:p>
      </xdr:txBody>
    </xdr:sp>
    <xdr:clientData fLocksWithSheet="0"/>
  </xdr:twoCellAnchor>
  <xdr:oneCellAnchor>
    <xdr:from>
      <xdr:col>3</xdr:col>
      <xdr:colOff>19050</xdr:colOff>
      <xdr:row>152</xdr:row>
      <xdr:rowOff>38100</xdr:rowOff>
    </xdr:from>
    <xdr:ext cx="8524875" cy="390525"/>
    <xdr:sp>
      <xdr:nvSpPr>
        <xdr:cNvPr id="7" name="AutoriseTRDons" hidden="1"/>
        <xdr:cNvSpPr txBox="1">
          <a:spLocks noChangeArrowheads="1"/>
        </xdr:cNvSpPr>
      </xdr:nvSpPr>
      <xdr:spPr>
        <a:xfrm>
          <a:off x="381000" y="11439525"/>
          <a:ext cx="8524875" cy="3905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Le signataire autorise le BEIE et Gaz Métro à s’échanger toute information transmise de sa part dans le cadre du programme de remise au point des systèmes mécaniques des bâtiments de Gaz Métro et du programme Écoperformance. Il autorise par le fait même Gaz Métro et le BEIE à s’échanger le résultat de leurs révisions techniques effectuées sur son dossier de remise au point des systèmes mécaniques des bâtiments.
</a:t>
          </a:r>
          <a:r>
            <a:rPr lang="en-US" cap="none" sz="700" b="0" i="0" u="none" baseline="0">
              <a:solidFill>
                <a:srgbClr val="000000"/>
              </a:solidFill>
              <a:latin typeface="Arial"/>
              <a:ea typeface="Arial"/>
              <a:cs typeface="Arial"/>
            </a:rPr>
            <a:t>
</a:t>
          </a:r>
        </a:p>
      </xdr:txBody>
    </xdr:sp>
    <xdr:clientData/>
  </xdr:oneCellAnchor>
  <xdr:twoCellAnchor>
    <xdr:from>
      <xdr:col>9</xdr:col>
      <xdr:colOff>0</xdr:colOff>
      <xdr:row>1</xdr:row>
      <xdr:rowOff>57150</xdr:rowOff>
    </xdr:from>
    <xdr:to>
      <xdr:col>37</xdr:col>
      <xdr:colOff>66675</xdr:colOff>
      <xdr:row>2</xdr:row>
      <xdr:rowOff>47625</xdr:rowOff>
    </xdr:to>
    <xdr:sp>
      <xdr:nvSpPr>
        <xdr:cNvPr id="8" name="ZoneTexte 2"/>
        <xdr:cNvSpPr txBox="1">
          <a:spLocks noChangeArrowheads="1"/>
        </xdr:cNvSpPr>
      </xdr:nvSpPr>
      <xdr:spPr>
        <a:xfrm>
          <a:off x="1666875" y="161925"/>
          <a:ext cx="5867400" cy="5715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Formulaire</a:t>
          </a:r>
          <a:r>
            <a:rPr lang="en-US" cap="none" sz="1400" b="1" i="0" u="none" baseline="0">
              <a:solidFill>
                <a:srgbClr val="000000"/>
              </a:solidFill>
              <a:latin typeface="Arial"/>
              <a:ea typeface="Arial"/>
              <a:cs typeface="Arial"/>
            </a:rPr>
            <a:t> de d</a:t>
          </a:r>
          <a:r>
            <a:rPr lang="en-US" cap="none" sz="1400" b="1" i="0" u="none" baseline="0">
              <a:solidFill>
                <a:srgbClr val="000000"/>
              </a:solidFill>
              <a:latin typeface="Arial"/>
              <a:ea typeface="Arial"/>
              <a:cs typeface="Arial"/>
            </a:rPr>
            <a:t>emande d'aide financière 
</a:t>
          </a:r>
          <a:r>
            <a:rPr lang="en-US" cap="none" sz="1400" b="1" i="0" u="none" baseline="0">
              <a:solidFill>
                <a:srgbClr val="000000"/>
              </a:solidFill>
              <a:latin typeface="Arial"/>
              <a:ea typeface="Arial"/>
              <a:cs typeface="Arial"/>
            </a:rPr>
            <a:t>ÉcoPerformance - volet prescriptif (implantation simplifiée)</a:t>
          </a:r>
        </a:p>
      </xdr:txBody>
    </xdr:sp>
    <xdr:clientData/>
  </xdr:twoCellAnchor>
  <xdr:twoCellAnchor>
    <xdr:from>
      <xdr:col>21</xdr:col>
      <xdr:colOff>0</xdr:colOff>
      <xdr:row>105</xdr:row>
      <xdr:rowOff>19050</xdr:rowOff>
    </xdr:from>
    <xdr:to>
      <xdr:col>30</xdr:col>
      <xdr:colOff>0</xdr:colOff>
      <xdr:row>106</xdr:row>
      <xdr:rowOff>0</xdr:rowOff>
    </xdr:to>
    <xdr:sp fLocksText="0">
      <xdr:nvSpPr>
        <xdr:cNvPr id="9" name="ZoneTexte 1"/>
        <xdr:cNvSpPr txBox="1">
          <a:spLocks noChangeArrowheads="1"/>
        </xdr:cNvSpPr>
      </xdr:nvSpPr>
      <xdr:spPr>
        <a:xfrm>
          <a:off x="4324350" y="8420100"/>
          <a:ext cx="1762125" cy="1428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latin typeface="Arial"/>
              <a:ea typeface="Arial"/>
              <a:cs typeface="Arial"/>
            </a:rPr>
            <a:t> 0,00 $
</a:t>
          </a:r>
        </a:p>
      </xdr:txBody>
    </xdr:sp>
    <xdr:clientData fLocksWithSheet="0"/>
  </xdr:twoCellAnchor>
  <xdr:twoCellAnchor>
    <xdr:from>
      <xdr:col>4</xdr:col>
      <xdr:colOff>0</xdr:colOff>
      <xdr:row>5</xdr:row>
      <xdr:rowOff>0</xdr:rowOff>
    </xdr:from>
    <xdr:to>
      <xdr:col>7</xdr:col>
      <xdr:colOff>38100</xdr:colOff>
      <xdr:row>5</xdr:row>
      <xdr:rowOff>0</xdr:rowOff>
    </xdr:to>
    <xdr:sp>
      <xdr:nvSpPr>
        <xdr:cNvPr id="10" name="Text Box 33"/>
        <xdr:cNvSpPr txBox="1">
          <a:spLocks noChangeArrowheads="1"/>
        </xdr:cNvSpPr>
      </xdr:nvSpPr>
      <xdr:spPr>
        <a:xfrm>
          <a:off x="571500" y="1095375"/>
          <a:ext cx="6953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twoCellAnchor>
    <xdr:from>
      <xdr:col>3</xdr:col>
      <xdr:colOff>0</xdr:colOff>
      <xdr:row>17</xdr:row>
      <xdr:rowOff>0</xdr:rowOff>
    </xdr:from>
    <xdr:to>
      <xdr:col>43</xdr:col>
      <xdr:colOff>0</xdr:colOff>
      <xdr:row>17</xdr:row>
      <xdr:rowOff>533400</xdr:rowOff>
    </xdr:to>
    <xdr:sp fLocksText="0" textlink="Demande!B13">
      <xdr:nvSpPr>
        <xdr:cNvPr id="11" name="Descriptif_Organisme"/>
        <xdr:cNvSpPr txBox="1">
          <a:spLocks noChangeArrowheads="1"/>
        </xdr:cNvSpPr>
      </xdr:nvSpPr>
      <xdr:spPr>
        <a:xfrm>
          <a:off x="361950" y="1905000"/>
          <a:ext cx="8496300" cy="533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c01a81a8-c611-438f-807a-581b7138d27b}" type="TxLink">
            <a:rPr lang="en-US" cap="none" sz="1000" b="0" i="0" u="none" baseline="0">
              <a:solidFill>
                <a:srgbClr val="000000"/>
              </a:solidFill>
              <a:latin typeface="Arial"/>
              <a:ea typeface="Arial"/>
              <a:cs typeface="Arial"/>
            </a:rPr>
            <a:t> </a:t>
          </a:fld>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266700</xdr:rowOff>
    </xdr:to>
    <xdr:pic>
      <xdr:nvPicPr>
        <xdr:cNvPr id="1" name="Image 64"/>
        <xdr:cNvPicPr preferRelativeResize="1">
          <a:picLocks noChangeAspect="1"/>
        </xdr:cNvPicPr>
      </xdr:nvPicPr>
      <xdr:blipFill>
        <a:blip r:embed="rId1"/>
        <a:stretch>
          <a:fillRect/>
        </a:stretch>
      </xdr:blipFill>
      <xdr:spPr>
        <a:xfrm>
          <a:off x="38100" y="342900"/>
          <a:ext cx="17526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85725</xdr:colOff>
      <xdr:row>4</xdr:row>
      <xdr:rowOff>9525</xdr:rowOff>
    </xdr:to>
    <xdr:pic>
      <xdr:nvPicPr>
        <xdr:cNvPr id="1" name="Image 2"/>
        <xdr:cNvPicPr preferRelativeResize="1">
          <a:picLocks noChangeAspect="1"/>
        </xdr:cNvPicPr>
      </xdr:nvPicPr>
      <xdr:blipFill>
        <a:blip r:embed="rId1"/>
        <a:stretch>
          <a:fillRect/>
        </a:stretch>
      </xdr:blipFill>
      <xdr:spPr>
        <a:xfrm>
          <a:off x="219075" y="0"/>
          <a:ext cx="15049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3.statcan.gc.ca/imdb/p3VD_f.pl?Function=getVDPage1&amp;db=imdb&amp;dis=2&amp;adm=8&amp;TVD=118464"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1">
    <tabColor rgb="FFFF0000"/>
    <pageSetUpPr fitToPage="1"/>
  </sheetPr>
  <dimension ref="B1:AC103"/>
  <sheetViews>
    <sheetView showGridLines="0" showRowColHeaders="0" tabSelected="1" workbookViewId="0" topLeftCell="A1">
      <selection activeCell="B1" sqref="B1:J1"/>
    </sheetView>
  </sheetViews>
  <sheetFormatPr defaultColWidth="11.421875" defaultRowHeight="12.75"/>
  <cols>
    <col min="1" max="1" width="2.28125" style="480" customWidth="1"/>
    <col min="2" max="10" width="11.421875" style="480" customWidth="1"/>
    <col min="11" max="11" width="2.28125" style="480" customWidth="1"/>
    <col min="12" max="12" width="11.421875" style="480" customWidth="1"/>
    <col min="13" max="13" width="7.8515625" style="480" customWidth="1"/>
    <col min="14" max="14" width="11.421875" style="480" customWidth="1"/>
    <col min="15" max="16384" width="11.421875" style="480" customWidth="1"/>
  </cols>
  <sheetData>
    <row r="1" spans="2:10" s="487" customFormat="1" ht="60" customHeight="1">
      <c r="B1" s="609"/>
      <c r="C1" s="609"/>
      <c r="D1" s="609"/>
      <c r="E1" s="609"/>
      <c r="F1" s="609"/>
      <c r="G1" s="609"/>
      <c r="H1" s="609"/>
      <c r="I1" s="609"/>
      <c r="J1" s="609"/>
    </row>
    <row r="2" spans="2:4" ht="18" customHeight="1" thickBot="1">
      <c r="B2" s="503"/>
      <c r="D2" s="502"/>
    </row>
    <row r="3" spans="2:13" s="484" customFormat="1" ht="18" customHeight="1">
      <c r="B3" s="501" t="s">
        <v>1077</v>
      </c>
      <c r="C3" s="500"/>
      <c r="D3" s="500"/>
      <c r="E3" s="500"/>
      <c r="F3" s="500"/>
      <c r="G3" s="500"/>
      <c r="H3" s="500"/>
      <c r="I3" s="500"/>
      <c r="J3" s="499"/>
      <c r="K3" s="498"/>
      <c r="L3" s="498"/>
      <c r="M3" s="498"/>
    </row>
    <row r="4" spans="2:29" ht="9.75" customHeight="1">
      <c r="B4" s="595"/>
      <c r="C4" s="596"/>
      <c r="D4" s="596"/>
      <c r="E4" s="596"/>
      <c r="F4" s="596"/>
      <c r="G4" s="596"/>
      <c r="H4" s="596"/>
      <c r="I4" s="596"/>
      <c r="J4" s="597"/>
      <c r="K4" s="596"/>
      <c r="L4" s="596"/>
      <c r="M4" s="596"/>
      <c r="R4" s="496"/>
      <c r="S4" s="481"/>
      <c r="T4" s="481"/>
      <c r="U4" s="481"/>
      <c r="V4" s="481"/>
      <c r="W4" s="481"/>
      <c r="X4" s="481"/>
      <c r="Y4" s="481"/>
      <c r="Z4" s="481"/>
      <c r="AA4" s="481"/>
      <c r="AB4" s="481"/>
      <c r="AC4" s="481"/>
    </row>
    <row r="5" spans="2:29" ht="24" customHeight="1">
      <c r="B5" s="617" t="s">
        <v>1076</v>
      </c>
      <c r="C5" s="618"/>
      <c r="D5" s="618"/>
      <c r="E5" s="618"/>
      <c r="F5" s="618"/>
      <c r="G5" s="618"/>
      <c r="H5" s="618"/>
      <c r="I5" s="618"/>
      <c r="J5" s="619"/>
      <c r="K5" s="596"/>
      <c r="L5" s="596"/>
      <c r="M5" s="596"/>
      <c r="R5" s="496"/>
      <c r="S5" s="497"/>
      <c r="T5" s="497"/>
      <c r="U5" s="497"/>
      <c r="V5" s="497"/>
      <c r="W5" s="497"/>
      <c r="X5" s="497"/>
      <c r="Y5" s="497"/>
      <c r="Z5" s="497"/>
      <c r="AA5" s="497"/>
      <c r="AB5" s="497"/>
      <c r="AC5" s="481"/>
    </row>
    <row r="6" spans="2:29" ht="9.75" customHeight="1">
      <c r="B6" s="595"/>
      <c r="C6" s="596"/>
      <c r="D6" s="596"/>
      <c r="E6" s="596"/>
      <c r="F6" s="596"/>
      <c r="G6" s="596"/>
      <c r="H6" s="596"/>
      <c r="I6" s="596"/>
      <c r="J6" s="597"/>
      <c r="K6" s="596"/>
      <c r="L6" s="596"/>
      <c r="M6" s="596"/>
      <c r="R6" s="496"/>
      <c r="S6" s="497"/>
      <c r="T6" s="497"/>
      <c r="U6" s="497"/>
      <c r="V6" s="497"/>
      <c r="W6" s="497"/>
      <c r="X6" s="497"/>
      <c r="Y6" s="497"/>
      <c r="Z6" s="497"/>
      <c r="AA6" s="497"/>
      <c r="AB6" s="497"/>
      <c r="AC6" s="481"/>
    </row>
    <row r="7" spans="2:29" ht="18" customHeight="1">
      <c r="B7" s="620" t="s">
        <v>1138</v>
      </c>
      <c r="C7" s="621"/>
      <c r="D7" s="621"/>
      <c r="E7" s="621"/>
      <c r="F7" s="621"/>
      <c r="G7" s="621"/>
      <c r="H7" s="621"/>
      <c r="I7" s="621"/>
      <c r="J7" s="622"/>
      <c r="K7" s="490"/>
      <c r="L7" s="490"/>
      <c r="M7" s="490"/>
      <c r="R7" s="481"/>
      <c r="S7" s="481"/>
      <c r="T7" s="481"/>
      <c r="U7" s="481"/>
      <c r="V7" s="481"/>
      <c r="W7" s="481"/>
      <c r="X7" s="481"/>
      <c r="Y7" s="481"/>
      <c r="Z7" s="481"/>
      <c r="AA7" s="481"/>
      <c r="AB7" s="481"/>
      <c r="AC7" s="481"/>
    </row>
    <row r="8" spans="2:29" ht="9.75" customHeight="1">
      <c r="B8" s="626"/>
      <c r="C8" s="627"/>
      <c r="D8" s="627"/>
      <c r="E8" s="627"/>
      <c r="F8" s="627"/>
      <c r="G8" s="627"/>
      <c r="H8" s="627"/>
      <c r="I8" s="627"/>
      <c r="J8" s="628"/>
      <c r="K8" s="599"/>
      <c r="L8" s="599"/>
      <c r="M8" s="599"/>
      <c r="R8" s="481"/>
      <c r="S8" s="481"/>
      <c r="T8" s="481"/>
      <c r="U8" s="481"/>
      <c r="V8" s="481"/>
      <c r="W8" s="481"/>
      <c r="X8" s="481"/>
      <c r="Y8" s="481"/>
      <c r="Z8" s="481"/>
      <c r="AA8" s="481"/>
      <c r="AB8" s="481"/>
      <c r="AC8" s="481"/>
    </row>
    <row r="9" spans="2:29" ht="15.75" customHeight="1">
      <c r="B9" s="629"/>
      <c r="C9" s="609"/>
      <c r="D9" s="609"/>
      <c r="E9" s="609"/>
      <c r="F9" s="609"/>
      <c r="G9" s="609"/>
      <c r="H9" s="609"/>
      <c r="I9" s="609"/>
      <c r="J9" s="610"/>
      <c r="K9" s="599"/>
      <c r="L9" s="599"/>
      <c r="M9" s="599"/>
      <c r="R9" s="481"/>
      <c r="S9" s="481"/>
      <c r="T9" s="481"/>
      <c r="U9" s="481"/>
      <c r="V9" s="481"/>
      <c r="W9" s="481"/>
      <c r="X9" s="481"/>
      <c r="Y9" s="481"/>
      <c r="Z9" s="481"/>
      <c r="AA9" s="481"/>
      <c r="AB9" s="481"/>
      <c r="AC9" s="481"/>
    </row>
    <row r="10" spans="2:29" ht="6" customHeight="1">
      <c r="B10" s="605"/>
      <c r="C10" s="606"/>
      <c r="D10" s="606"/>
      <c r="E10" s="606"/>
      <c r="F10" s="606"/>
      <c r="G10" s="606"/>
      <c r="H10" s="606"/>
      <c r="I10" s="606"/>
      <c r="J10" s="607"/>
      <c r="K10" s="599"/>
      <c r="L10" s="599"/>
      <c r="M10" s="599"/>
      <c r="R10" s="481"/>
      <c r="S10" s="481"/>
      <c r="T10" s="481"/>
      <c r="U10" s="481"/>
      <c r="V10" s="481"/>
      <c r="W10" s="481"/>
      <c r="X10" s="481"/>
      <c r="Y10" s="481"/>
      <c r="Z10" s="481"/>
      <c r="AA10" s="481"/>
      <c r="AB10" s="481"/>
      <c r="AC10" s="481"/>
    </row>
    <row r="11" spans="2:29" ht="39.75" customHeight="1">
      <c r="B11" s="608" t="s">
        <v>1139</v>
      </c>
      <c r="C11" s="609"/>
      <c r="D11" s="609"/>
      <c r="E11" s="609"/>
      <c r="F11" s="609"/>
      <c r="G11" s="609"/>
      <c r="H11" s="609"/>
      <c r="I11" s="609"/>
      <c r="J11" s="610"/>
      <c r="K11" s="599"/>
      <c r="L11" s="599"/>
      <c r="M11" s="599"/>
      <c r="R11" s="481"/>
      <c r="S11" s="481"/>
      <c r="T11" s="481"/>
      <c r="U11" s="481"/>
      <c r="V11" s="481"/>
      <c r="W11" s="481"/>
      <c r="X11" s="481"/>
      <c r="Y11" s="481"/>
      <c r="Z11" s="481"/>
      <c r="AA11" s="481"/>
      <c r="AB11" s="481"/>
      <c r="AC11" s="481"/>
    </row>
    <row r="12" spans="2:29" ht="15.75" customHeight="1">
      <c r="B12" s="608" t="s">
        <v>1140</v>
      </c>
      <c r="C12" s="609"/>
      <c r="D12" s="609"/>
      <c r="E12" s="609"/>
      <c r="F12" s="609"/>
      <c r="G12" s="609"/>
      <c r="H12" s="609"/>
      <c r="I12" s="609"/>
      <c r="J12" s="610"/>
      <c r="K12" s="599"/>
      <c r="L12" s="599"/>
      <c r="M12" s="599"/>
      <c r="R12" s="481"/>
      <c r="S12" s="481"/>
      <c r="T12" s="481"/>
      <c r="U12" s="481"/>
      <c r="V12" s="481"/>
      <c r="W12" s="481"/>
      <c r="X12" s="481"/>
      <c r="Y12" s="481"/>
      <c r="Z12" s="481"/>
      <c r="AA12" s="481"/>
      <c r="AB12" s="481"/>
      <c r="AC12" s="481"/>
    </row>
    <row r="13" spans="2:29" ht="15.75" customHeight="1">
      <c r="B13" s="608" t="s">
        <v>1141</v>
      </c>
      <c r="C13" s="609"/>
      <c r="D13" s="609"/>
      <c r="E13" s="609"/>
      <c r="F13" s="609"/>
      <c r="G13" s="609"/>
      <c r="H13" s="609"/>
      <c r="I13" s="609"/>
      <c r="J13" s="610"/>
      <c r="K13" s="599"/>
      <c r="L13" s="599"/>
      <c r="M13" s="599"/>
      <c r="R13" s="481"/>
      <c r="S13" s="481"/>
      <c r="T13" s="481"/>
      <c r="U13" s="481"/>
      <c r="V13" s="481"/>
      <c r="W13" s="481"/>
      <c r="X13" s="481"/>
      <c r="Y13" s="481"/>
      <c r="Z13" s="481"/>
      <c r="AA13" s="481"/>
      <c r="AB13" s="481"/>
      <c r="AC13" s="481"/>
    </row>
    <row r="14" spans="2:29" ht="225" customHeight="1">
      <c r="B14" s="601"/>
      <c r="C14" s="599"/>
      <c r="D14" s="599"/>
      <c r="E14" s="599"/>
      <c r="F14" s="599"/>
      <c r="G14" s="599"/>
      <c r="H14" s="599"/>
      <c r="I14" s="599"/>
      <c r="J14" s="600"/>
      <c r="K14" s="599"/>
      <c r="L14" s="599"/>
      <c r="M14" s="599"/>
      <c r="R14" s="481"/>
      <c r="S14" s="481"/>
      <c r="T14" s="481"/>
      <c r="U14" s="481"/>
      <c r="V14" s="481"/>
      <c r="W14" s="481"/>
      <c r="X14" s="481"/>
      <c r="Y14" s="481"/>
      <c r="Z14" s="481"/>
      <c r="AA14" s="481"/>
      <c r="AB14" s="481"/>
      <c r="AC14" s="481"/>
    </row>
    <row r="15" spans="2:29" ht="15.75" customHeight="1">
      <c r="B15" s="608" t="s">
        <v>1142</v>
      </c>
      <c r="C15" s="609"/>
      <c r="D15" s="609"/>
      <c r="E15" s="609"/>
      <c r="F15" s="609"/>
      <c r="G15" s="609"/>
      <c r="H15" s="609"/>
      <c r="I15" s="609"/>
      <c r="J15" s="610"/>
      <c r="K15" s="599"/>
      <c r="L15" s="599"/>
      <c r="M15" s="599"/>
      <c r="R15" s="481"/>
      <c r="S15" s="481"/>
      <c r="T15" s="481"/>
      <c r="U15" s="481"/>
      <c r="V15" s="481"/>
      <c r="W15" s="481"/>
      <c r="X15" s="481"/>
      <c r="Y15" s="481"/>
      <c r="Z15" s="481"/>
      <c r="AA15" s="481"/>
      <c r="AB15" s="481"/>
      <c r="AC15" s="481"/>
    </row>
    <row r="16" spans="2:29" ht="9.75" customHeight="1">
      <c r="B16" s="611"/>
      <c r="C16" s="612"/>
      <c r="D16" s="612"/>
      <c r="E16" s="612"/>
      <c r="F16" s="612"/>
      <c r="G16" s="612"/>
      <c r="H16" s="612"/>
      <c r="I16" s="612"/>
      <c r="J16" s="613"/>
      <c r="K16" s="599"/>
      <c r="L16" s="599"/>
      <c r="M16" s="599"/>
      <c r="R16" s="481"/>
      <c r="S16" s="481"/>
      <c r="T16" s="481"/>
      <c r="U16" s="481"/>
      <c r="V16" s="481"/>
      <c r="W16" s="481"/>
      <c r="X16" s="481"/>
      <c r="Y16" s="481"/>
      <c r="Z16" s="481"/>
      <c r="AA16" s="481"/>
      <c r="AB16" s="481"/>
      <c r="AC16" s="481"/>
    </row>
    <row r="17" spans="2:29" ht="18" customHeight="1">
      <c r="B17" s="620" t="s">
        <v>1143</v>
      </c>
      <c r="C17" s="621"/>
      <c r="D17" s="621"/>
      <c r="E17" s="621"/>
      <c r="F17" s="621"/>
      <c r="G17" s="621"/>
      <c r="H17" s="621"/>
      <c r="I17" s="621"/>
      <c r="J17" s="622"/>
      <c r="K17" s="490"/>
      <c r="L17" s="490"/>
      <c r="M17" s="490"/>
      <c r="R17" s="481"/>
      <c r="S17" s="481"/>
      <c r="T17" s="481"/>
      <c r="U17" s="481"/>
      <c r="V17" s="481"/>
      <c r="W17" s="481"/>
      <c r="X17" s="481"/>
      <c r="Y17" s="481"/>
      <c r="Z17" s="481"/>
      <c r="AA17" s="481"/>
      <c r="AB17" s="481"/>
      <c r="AC17" s="481"/>
    </row>
    <row r="18" spans="2:29" ht="9.75" customHeight="1">
      <c r="B18" s="626"/>
      <c r="C18" s="627"/>
      <c r="D18" s="627"/>
      <c r="E18" s="627"/>
      <c r="F18" s="627"/>
      <c r="G18" s="627"/>
      <c r="H18" s="627"/>
      <c r="I18" s="627"/>
      <c r="J18" s="628"/>
      <c r="K18" s="596"/>
      <c r="L18" s="596"/>
      <c r="M18" s="596"/>
      <c r="R18" s="481"/>
      <c r="S18" s="481"/>
      <c r="T18" s="481"/>
      <c r="U18" s="481"/>
      <c r="V18" s="481"/>
      <c r="W18" s="481"/>
      <c r="X18" s="481"/>
      <c r="Y18" s="481"/>
      <c r="Z18" s="481"/>
      <c r="AA18" s="481"/>
      <c r="AB18" s="481"/>
      <c r="AC18" s="481"/>
    </row>
    <row r="19" spans="2:29" ht="15.75" customHeight="1">
      <c r="B19" s="629" t="s">
        <v>1151</v>
      </c>
      <c r="C19" s="609"/>
      <c r="D19" s="609"/>
      <c r="E19" s="609"/>
      <c r="F19" s="609"/>
      <c r="G19" s="609"/>
      <c r="H19" s="609"/>
      <c r="I19" s="609"/>
      <c r="J19" s="610"/>
      <c r="K19" s="596"/>
      <c r="L19" s="596"/>
      <c r="M19" s="596"/>
      <c r="R19" s="481"/>
      <c r="S19" s="481"/>
      <c r="T19" s="481"/>
      <c r="U19" s="481"/>
      <c r="V19" s="481"/>
      <c r="W19" s="481"/>
      <c r="X19" s="481"/>
      <c r="Y19" s="481"/>
      <c r="Z19" s="481"/>
      <c r="AA19" s="481"/>
      <c r="AB19" s="481"/>
      <c r="AC19" s="481"/>
    </row>
    <row r="20" spans="2:29" ht="42.75" customHeight="1">
      <c r="B20" s="617" t="s">
        <v>1135</v>
      </c>
      <c r="C20" s="609"/>
      <c r="D20" s="609"/>
      <c r="E20" s="609"/>
      <c r="F20" s="609"/>
      <c r="G20" s="609"/>
      <c r="H20" s="609"/>
      <c r="I20" s="609"/>
      <c r="J20" s="610"/>
      <c r="K20" s="596"/>
      <c r="L20" s="596"/>
      <c r="M20" s="596"/>
      <c r="R20" s="481"/>
      <c r="S20" s="481"/>
      <c r="T20" s="481"/>
      <c r="U20" s="481"/>
      <c r="V20" s="481"/>
      <c r="W20" s="481"/>
      <c r="X20" s="481"/>
      <c r="Y20" s="481"/>
      <c r="Z20" s="481"/>
      <c r="AA20" s="481"/>
      <c r="AB20" s="481"/>
      <c r="AC20" s="481"/>
    </row>
    <row r="21" spans="2:29" ht="9.75" customHeight="1">
      <c r="B21" s="595"/>
      <c r="C21" s="596"/>
      <c r="D21" s="596"/>
      <c r="E21" s="596"/>
      <c r="F21" s="596"/>
      <c r="G21" s="596"/>
      <c r="H21" s="596"/>
      <c r="I21" s="596"/>
      <c r="J21" s="597"/>
      <c r="K21" s="596"/>
      <c r="L21" s="596"/>
      <c r="M21" s="596"/>
      <c r="R21" s="481"/>
      <c r="S21" s="481"/>
      <c r="T21" s="481"/>
      <c r="U21" s="481"/>
      <c r="V21" s="481"/>
      <c r="W21" s="481"/>
      <c r="X21" s="481"/>
      <c r="Y21" s="481"/>
      <c r="Z21" s="481"/>
      <c r="AA21" s="481"/>
      <c r="AB21" s="481"/>
      <c r="AC21" s="481"/>
    </row>
    <row r="22" spans="2:29" ht="132" customHeight="1">
      <c r="B22" s="595"/>
      <c r="C22" s="596"/>
      <c r="D22" s="596"/>
      <c r="E22" s="596"/>
      <c r="F22" s="596"/>
      <c r="G22" s="596"/>
      <c r="H22" s="596"/>
      <c r="I22" s="596"/>
      <c r="J22" s="597"/>
      <c r="K22" s="596"/>
      <c r="L22" s="596"/>
      <c r="M22" s="596"/>
      <c r="R22" s="481"/>
      <c r="S22" s="481"/>
      <c r="T22" s="481"/>
      <c r="U22" s="481"/>
      <c r="V22" s="481"/>
      <c r="W22" s="481"/>
      <c r="X22" s="481"/>
      <c r="Y22" s="481"/>
      <c r="Z22" s="481"/>
      <c r="AA22" s="481"/>
      <c r="AB22" s="481"/>
      <c r="AC22" s="481"/>
    </row>
    <row r="23" spans="2:29" ht="15.75" customHeight="1">
      <c r="B23" s="611"/>
      <c r="C23" s="612"/>
      <c r="D23" s="612"/>
      <c r="E23" s="612"/>
      <c r="F23" s="612"/>
      <c r="G23" s="612"/>
      <c r="H23" s="612"/>
      <c r="I23" s="612"/>
      <c r="J23" s="613"/>
      <c r="K23" s="596"/>
      <c r="L23" s="596"/>
      <c r="M23" s="596"/>
      <c r="R23" s="481"/>
      <c r="S23" s="481"/>
      <c r="T23" s="481"/>
      <c r="U23" s="481"/>
      <c r="V23" s="481"/>
      <c r="W23" s="481"/>
      <c r="X23" s="481"/>
      <c r="Y23" s="481"/>
      <c r="Z23" s="481"/>
      <c r="AA23" s="481"/>
      <c r="AB23" s="481"/>
      <c r="AC23" s="481"/>
    </row>
    <row r="24" spans="2:29" ht="18" customHeight="1">
      <c r="B24" s="620" t="s">
        <v>1144</v>
      </c>
      <c r="C24" s="621"/>
      <c r="D24" s="621"/>
      <c r="E24" s="621"/>
      <c r="F24" s="621"/>
      <c r="G24" s="621"/>
      <c r="H24" s="621"/>
      <c r="I24" s="621"/>
      <c r="J24" s="622"/>
      <c r="K24" s="490"/>
      <c r="L24" s="490"/>
      <c r="M24" s="490"/>
      <c r="R24" s="496"/>
      <c r="S24" s="481"/>
      <c r="T24" s="481"/>
      <c r="U24" s="481"/>
      <c r="V24" s="481"/>
      <c r="W24" s="481"/>
      <c r="X24" s="481"/>
      <c r="Y24" s="481"/>
      <c r="Z24" s="481"/>
      <c r="AA24" s="481"/>
      <c r="AB24" s="481"/>
      <c r="AC24" s="481"/>
    </row>
    <row r="25" spans="2:29" ht="9.75" customHeight="1">
      <c r="B25" s="595"/>
      <c r="C25" s="596"/>
      <c r="D25" s="596"/>
      <c r="E25" s="596"/>
      <c r="F25" s="596"/>
      <c r="G25" s="596"/>
      <c r="H25" s="596"/>
      <c r="I25" s="596"/>
      <c r="J25" s="597"/>
      <c r="K25" s="596"/>
      <c r="L25" s="596"/>
      <c r="M25" s="596"/>
      <c r="R25" s="481"/>
      <c r="S25" s="481"/>
      <c r="T25" s="481"/>
      <c r="U25" s="481"/>
      <c r="V25" s="481"/>
      <c r="W25" s="481"/>
      <c r="X25" s="481"/>
      <c r="Y25" s="481"/>
      <c r="Z25" s="481"/>
      <c r="AA25" s="481"/>
      <c r="AB25" s="481"/>
      <c r="AC25" s="481"/>
    </row>
    <row r="26" spans="2:29" ht="25.5" customHeight="1">
      <c r="B26" s="595"/>
      <c r="C26" s="596"/>
      <c r="D26" s="596"/>
      <c r="E26" s="596"/>
      <c r="F26" s="596"/>
      <c r="G26" s="596"/>
      <c r="H26" s="596"/>
      <c r="I26" s="596"/>
      <c r="J26" s="597"/>
      <c r="K26" s="596"/>
      <c r="L26" s="596"/>
      <c r="M26" s="596"/>
      <c r="R26" s="481"/>
      <c r="S26" s="483"/>
      <c r="T26" s="481"/>
      <c r="U26" s="481"/>
      <c r="V26" s="481"/>
      <c r="W26" s="481"/>
      <c r="X26" s="481"/>
      <c r="Y26" s="481"/>
      <c r="Z26" s="481"/>
      <c r="AA26" s="481"/>
      <c r="AB26" s="481"/>
      <c r="AC26" s="481"/>
    </row>
    <row r="27" spans="2:29" ht="15.75" customHeight="1">
      <c r="B27" s="595"/>
      <c r="C27" s="596"/>
      <c r="D27" s="596"/>
      <c r="E27" s="596"/>
      <c r="F27" s="596"/>
      <c r="G27" s="596"/>
      <c r="H27" s="596"/>
      <c r="I27" s="596"/>
      <c r="J27" s="597"/>
      <c r="K27" s="596"/>
      <c r="L27" s="596"/>
      <c r="M27" s="596"/>
      <c r="R27" s="481"/>
      <c r="S27" s="481"/>
      <c r="T27" s="481"/>
      <c r="U27" s="481"/>
      <c r="V27" s="481"/>
      <c r="W27" s="481"/>
      <c r="X27" s="481"/>
      <c r="Y27" s="481"/>
      <c r="Z27" s="481"/>
      <c r="AA27" s="481"/>
      <c r="AB27" s="481"/>
      <c r="AC27" s="481"/>
    </row>
    <row r="28" spans="2:29" ht="19.5" customHeight="1">
      <c r="B28" s="620" t="s">
        <v>1145</v>
      </c>
      <c r="C28" s="621"/>
      <c r="D28" s="621"/>
      <c r="E28" s="621"/>
      <c r="F28" s="621"/>
      <c r="G28" s="621"/>
      <c r="H28" s="621"/>
      <c r="I28" s="621"/>
      <c r="J28" s="622"/>
      <c r="K28" s="490"/>
      <c r="L28" s="490"/>
      <c r="M28" s="490"/>
      <c r="R28" s="481"/>
      <c r="S28" s="481"/>
      <c r="T28" s="481"/>
      <c r="U28" s="481"/>
      <c r="V28" s="481"/>
      <c r="W28" s="481"/>
      <c r="X28" s="481"/>
      <c r="Y28" s="481"/>
      <c r="Z28" s="481"/>
      <c r="AA28" s="481"/>
      <c r="AB28" s="481"/>
      <c r="AC28" s="481"/>
    </row>
    <row r="29" spans="2:29" ht="15.75" customHeight="1">
      <c r="B29" s="595"/>
      <c r="C29" s="596"/>
      <c r="D29" s="596"/>
      <c r="E29" s="596"/>
      <c r="F29" s="596"/>
      <c r="G29" s="596"/>
      <c r="H29" s="596"/>
      <c r="I29" s="596"/>
      <c r="J29" s="597"/>
      <c r="K29" s="596"/>
      <c r="L29" s="596"/>
      <c r="M29" s="596"/>
      <c r="R29" s="481"/>
      <c r="S29" s="481"/>
      <c r="T29" s="481"/>
      <c r="U29" s="481"/>
      <c r="V29" s="481"/>
      <c r="W29" s="481"/>
      <c r="X29" s="481"/>
      <c r="Y29" s="481"/>
      <c r="Z29" s="481"/>
      <c r="AA29" s="481"/>
      <c r="AB29" s="481"/>
      <c r="AC29" s="481"/>
    </row>
    <row r="30" spans="2:29" ht="39" customHeight="1">
      <c r="B30" s="614" t="s">
        <v>1146</v>
      </c>
      <c r="C30" s="615"/>
      <c r="D30" s="615"/>
      <c r="E30" s="615"/>
      <c r="F30" s="615"/>
      <c r="G30" s="615"/>
      <c r="H30" s="615"/>
      <c r="I30" s="615"/>
      <c r="J30" s="616"/>
      <c r="K30" s="495"/>
      <c r="L30" s="495"/>
      <c r="M30" s="495"/>
      <c r="R30" s="481"/>
      <c r="S30" s="481"/>
      <c r="T30" s="481"/>
      <c r="U30" s="481"/>
      <c r="V30" s="481"/>
      <c r="W30" s="481"/>
      <c r="X30" s="481"/>
      <c r="Y30" s="481"/>
      <c r="Z30" s="481"/>
      <c r="AA30" s="481"/>
      <c r="AB30" s="481"/>
      <c r="AC30" s="481"/>
    </row>
    <row r="31" spans="2:29" ht="9.75" customHeight="1">
      <c r="B31" s="595"/>
      <c r="C31" s="596"/>
      <c r="D31" s="596"/>
      <c r="E31" s="596"/>
      <c r="F31" s="596"/>
      <c r="G31" s="596"/>
      <c r="H31" s="596"/>
      <c r="I31" s="596"/>
      <c r="J31" s="597"/>
      <c r="K31" s="596"/>
      <c r="L31" s="596"/>
      <c r="M31" s="596"/>
      <c r="R31" s="481"/>
      <c r="S31" s="481"/>
      <c r="T31" s="481"/>
      <c r="U31" s="481"/>
      <c r="V31" s="481"/>
      <c r="W31" s="481"/>
      <c r="X31" s="481"/>
      <c r="Y31" s="481"/>
      <c r="Z31" s="481"/>
      <c r="AA31" s="481"/>
      <c r="AB31" s="481"/>
      <c r="AC31" s="481"/>
    </row>
    <row r="32" spans="2:29" ht="24.75" customHeight="1">
      <c r="B32" s="617" t="s">
        <v>1075</v>
      </c>
      <c r="C32" s="618"/>
      <c r="D32" s="618"/>
      <c r="E32" s="618"/>
      <c r="F32" s="618"/>
      <c r="G32" s="618"/>
      <c r="H32" s="618"/>
      <c r="I32" s="618"/>
      <c r="J32" s="619"/>
      <c r="K32" s="594"/>
      <c r="L32" s="594"/>
      <c r="M32" s="594"/>
      <c r="R32" s="481"/>
      <c r="S32" s="481"/>
      <c r="T32" s="481"/>
      <c r="U32" s="481"/>
      <c r="V32" s="481"/>
      <c r="W32" s="481"/>
      <c r="X32" s="481"/>
      <c r="Y32" s="481"/>
      <c r="Z32" s="481"/>
      <c r="AA32" s="481"/>
      <c r="AB32" s="481"/>
      <c r="AC32" s="481"/>
    </row>
    <row r="33" spans="2:29" ht="9.75" customHeight="1">
      <c r="B33" s="595"/>
      <c r="C33" s="596"/>
      <c r="D33" s="596"/>
      <c r="E33" s="596"/>
      <c r="F33" s="596"/>
      <c r="G33" s="596"/>
      <c r="H33" s="596"/>
      <c r="I33" s="596"/>
      <c r="J33" s="597"/>
      <c r="K33" s="596"/>
      <c r="L33" s="596"/>
      <c r="M33" s="596"/>
      <c r="R33" s="481"/>
      <c r="S33" s="481"/>
      <c r="T33" s="481"/>
      <c r="U33" s="481"/>
      <c r="V33" s="481"/>
      <c r="W33" s="481"/>
      <c r="X33" s="481"/>
      <c r="Y33" s="481"/>
      <c r="Z33" s="481"/>
      <c r="AA33" s="481"/>
      <c r="AB33" s="481"/>
      <c r="AC33" s="481"/>
    </row>
    <row r="34" spans="2:29" ht="15">
      <c r="B34" s="595"/>
      <c r="C34" s="596"/>
      <c r="D34" s="596"/>
      <c r="E34" s="596"/>
      <c r="F34" s="596"/>
      <c r="G34" s="596"/>
      <c r="H34" s="596"/>
      <c r="I34" s="596"/>
      <c r="J34" s="597"/>
      <c r="K34" s="596"/>
      <c r="L34" s="596"/>
      <c r="M34" s="596"/>
      <c r="R34" s="481"/>
      <c r="S34" s="481"/>
      <c r="T34" s="481"/>
      <c r="U34" s="481"/>
      <c r="V34" s="481"/>
      <c r="W34" s="481"/>
      <c r="X34" s="481"/>
      <c r="Y34" s="481"/>
      <c r="Z34" s="481"/>
      <c r="AA34" s="481"/>
      <c r="AB34" s="481"/>
      <c r="AC34" s="481"/>
    </row>
    <row r="35" spans="2:29" ht="15">
      <c r="B35" s="595"/>
      <c r="C35" s="596"/>
      <c r="D35" s="596"/>
      <c r="E35" s="596"/>
      <c r="F35" s="596"/>
      <c r="G35" s="596"/>
      <c r="H35" s="596"/>
      <c r="I35" s="596"/>
      <c r="J35" s="597"/>
      <c r="K35" s="596"/>
      <c r="L35" s="596"/>
      <c r="M35" s="596"/>
      <c r="R35" s="481"/>
      <c r="S35" s="481"/>
      <c r="T35" s="481"/>
      <c r="U35" s="481"/>
      <c r="V35" s="481"/>
      <c r="W35" s="481"/>
      <c r="X35" s="481"/>
      <c r="Y35" s="481"/>
      <c r="Z35" s="481"/>
      <c r="AA35" s="481"/>
      <c r="AB35" s="481"/>
      <c r="AC35" s="481"/>
    </row>
    <row r="36" spans="2:29" ht="15">
      <c r="B36" s="595"/>
      <c r="C36" s="596"/>
      <c r="D36" s="596"/>
      <c r="E36" s="596"/>
      <c r="F36" s="596"/>
      <c r="G36" s="596"/>
      <c r="H36" s="596"/>
      <c r="I36" s="596"/>
      <c r="J36" s="597"/>
      <c r="K36" s="596"/>
      <c r="L36" s="596"/>
      <c r="M36" s="596"/>
      <c r="R36" s="481"/>
      <c r="S36" s="481"/>
      <c r="T36" s="481"/>
      <c r="U36" s="481"/>
      <c r="V36" s="481"/>
      <c r="W36" s="481"/>
      <c r="X36" s="481"/>
      <c r="Y36" s="481"/>
      <c r="Z36" s="481"/>
      <c r="AA36" s="481"/>
      <c r="AB36" s="481"/>
      <c r="AC36" s="481"/>
    </row>
    <row r="37" spans="2:29" ht="15">
      <c r="B37" s="595"/>
      <c r="C37" s="596"/>
      <c r="D37" s="596"/>
      <c r="E37" s="596"/>
      <c r="F37" s="596"/>
      <c r="G37" s="596"/>
      <c r="H37" s="596"/>
      <c r="I37" s="596"/>
      <c r="J37" s="597"/>
      <c r="K37" s="596"/>
      <c r="L37" s="596"/>
      <c r="M37" s="596"/>
      <c r="R37" s="481"/>
      <c r="S37" s="481"/>
      <c r="T37" s="481"/>
      <c r="U37" s="481"/>
      <c r="V37" s="481"/>
      <c r="W37" s="481"/>
      <c r="X37" s="481"/>
      <c r="Y37" s="481"/>
      <c r="Z37" s="481"/>
      <c r="AA37" s="481"/>
      <c r="AB37" s="481"/>
      <c r="AC37" s="481"/>
    </row>
    <row r="38" spans="2:29" ht="15">
      <c r="B38" s="494"/>
      <c r="C38" s="484"/>
      <c r="D38" s="484"/>
      <c r="E38" s="484"/>
      <c r="F38" s="484"/>
      <c r="G38" s="484"/>
      <c r="H38" s="484"/>
      <c r="I38" s="484"/>
      <c r="J38" s="493"/>
      <c r="K38" s="484"/>
      <c r="L38" s="484"/>
      <c r="M38" s="484"/>
      <c r="R38" s="481"/>
      <c r="S38" s="481"/>
      <c r="T38" s="481"/>
      <c r="U38" s="481"/>
      <c r="V38" s="481"/>
      <c r="W38" s="481"/>
      <c r="X38" s="481"/>
      <c r="Y38" s="481"/>
      <c r="Z38" s="481"/>
      <c r="AA38" s="481"/>
      <c r="AB38" s="481"/>
      <c r="AC38" s="481"/>
    </row>
    <row r="39" spans="2:29" ht="15">
      <c r="B39" s="492"/>
      <c r="C39" s="489"/>
      <c r="D39" s="489"/>
      <c r="E39" s="489"/>
      <c r="F39" s="489"/>
      <c r="G39" s="489"/>
      <c r="H39" s="489"/>
      <c r="I39" s="489"/>
      <c r="J39" s="491"/>
      <c r="K39" s="489"/>
      <c r="L39" s="489"/>
      <c r="M39" s="489"/>
      <c r="R39" s="481"/>
      <c r="S39" s="481"/>
      <c r="T39" s="481"/>
      <c r="U39" s="481"/>
      <c r="V39" s="481"/>
      <c r="W39" s="481"/>
      <c r="X39" s="481"/>
      <c r="Y39" s="481"/>
      <c r="Z39" s="481"/>
      <c r="AA39" s="481"/>
      <c r="AB39" s="481"/>
      <c r="AC39" s="481"/>
    </row>
    <row r="40" spans="2:29" ht="15">
      <c r="B40" s="492"/>
      <c r="C40" s="489"/>
      <c r="D40" s="489"/>
      <c r="E40" s="489"/>
      <c r="F40" s="489"/>
      <c r="G40" s="489"/>
      <c r="H40" s="489"/>
      <c r="I40" s="489"/>
      <c r="J40" s="491"/>
      <c r="K40" s="489"/>
      <c r="L40" s="489"/>
      <c r="M40" s="489"/>
      <c r="R40" s="481"/>
      <c r="S40" s="481"/>
      <c r="T40" s="481"/>
      <c r="U40" s="481"/>
      <c r="V40" s="481"/>
      <c r="W40" s="481"/>
      <c r="X40" s="481"/>
      <c r="Y40" s="481"/>
      <c r="Z40" s="481"/>
      <c r="AA40" s="481"/>
      <c r="AB40" s="481"/>
      <c r="AC40" s="481"/>
    </row>
    <row r="41" spans="2:29" ht="10.5" customHeight="1">
      <c r="B41" s="492"/>
      <c r="C41" s="489"/>
      <c r="D41" s="489"/>
      <c r="E41" s="489"/>
      <c r="F41" s="489"/>
      <c r="G41" s="489"/>
      <c r="H41" s="489"/>
      <c r="I41" s="489"/>
      <c r="J41" s="491"/>
      <c r="K41" s="489"/>
      <c r="L41" s="489"/>
      <c r="M41" s="489"/>
      <c r="R41" s="481"/>
      <c r="S41" s="481"/>
      <c r="T41" s="481"/>
      <c r="U41" s="481"/>
      <c r="V41" s="481"/>
      <c r="W41" s="481"/>
      <c r="X41" s="481"/>
      <c r="Y41" s="481"/>
      <c r="Z41" s="481"/>
      <c r="AA41" s="481"/>
      <c r="AB41" s="481"/>
      <c r="AC41" s="481"/>
    </row>
    <row r="42" spans="2:29" ht="15.75" customHeight="1">
      <c r="B42" s="595"/>
      <c r="C42" s="596"/>
      <c r="D42" s="596"/>
      <c r="E42" s="596"/>
      <c r="F42" s="596"/>
      <c r="G42" s="596"/>
      <c r="H42" s="596"/>
      <c r="I42" s="596"/>
      <c r="J42" s="597"/>
      <c r="K42" s="596"/>
      <c r="L42" s="596"/>
      <c r="M42" s="596"/>
      <c r="R42" s="481"/>
      <c r="S42" s="481"/>
      <c r="T42" s="481"/>
      <c r="U42" s="481"/>
      <c r="V42" s="481"/>
      <c r="W42" s="481"/>
      <c r="X42" s="481"/>
      <c r="Y42" s="481"/>
      <c r="Z42" s="481"/>
      <c r="AA42" s="481"/>
      <c r="AB42" s="481"/>
      <c r="AC42" s="481"/>
    </row>
    <row r="43" spans="2:29" ht="19.5" customHeight="1">
      <c r="B43" s="620" t="s">
        <v>1147</v>
      </c>
      <c r="C43" s="621"/>
      <c r="D43" s="621"/>
      <c r="E43" s="621"/>
      <c r="F43" s="621"/>
      <c r="G43" s="621"/>
      <c r="H43" s="621"/>
      <c r="I43" s="621"/>
      <c r="J43" s="622"/>
      <c r="K43" s="490"/>
      <c r="L43" s="490"/>
      <c r="M43" s="490"/>
      <c r="R43" s="481"/>
      <c r="S43" s="481"/>
      <c r="T43" s="481"/>
      <c r="U43" s="481"/>
      <c r="V43" s="481"/>
      <c r="W43" s="481"/>
      <c r="X43" s="481"/>
      <c r="Y43" s="481"/>
      <c r="Z43" s="481"/>
      <c r="AA43" s="481"/>
      <c r="AB43" s="481"/>
      <c r="AC43" s="481"/>
    </row>
    <row r="44" spans="2:29" ht="30" customHeight="1" thickBot="1">
      <c r="B44" s="623" t="s">
        <v>1074</v>
      </c>
      <c r="C44" s="624"/>
      <c r="D44" s="624"/>
      <c r="E44" s="624"/>
      <c r="F44" s="624"/>
      <c r="G44" s="624"/>
      <c r="H44" s="624"/>
      <c r="I44" s="624"/>
      <c r="J44" s="625"/>
      <c r="K44" s="484"/>
      <c r="L44" s="484"/>
      <c r="M44" s="484"/>
      <c r="R44" s="481"/>
      <c r="S44" s="481"/>
      <c r="T44" s="481"/>
      <c r="U44" s="481"/>
      <c r="V44" s="481"/>
      <c r="W44" s="481"/>
      <c r="X44" s="481"/>
      <c r="Y44" s="481"/>
      <c r="Z44" s="481"/>
      <c r="AA44" s="481"/>
      <c r="AB44" s="481"/>
      <c r="AC44" s="481"/>
    </row>
    <row r="45" spans="2:29" ht="15">
      <c r="B45" s="489"/>
      <c r="C45" s="489"/>
      <c r="D45" s="489"/>
      <c r="E45" s="489"/>
      <c r="F45" s="489"/>
      <c r="G45" s="489"/>
      <c r="H45" s="489"/>
      <c r="I45" s="489"/>
      <c r="J45" s="489"/>
      <c r="K45" s="489"/>
      <c r="L45" s="489"/>
      <c r="M45" s="489"/>
      <c r="R45" s="481"/>
      <c r="S45" s="481"/>
      <c r="T45" s="481"/>
      <c r="U45" s="481"/>
      <c r="V45" s="481"/>
      <c r="W45" s="481"/>
      <c r="X45" s="481"/>
      <c r="Y45" s="481"/>
      <c r="Z45" s="481"/>
      <c r="AA45" s="481"/>
      <c r="AB45" s="481"/>
      <c r="AC45" s="481"/>
    </row>
    <row r="46" spans="18:29" ht="37.5" customHeight="1">
      <c r="R46" s="481"/>
      <c r="S46" s="481"/>
      <c r="T46" s="481"/>
      <c r="U46" s="481"/>
      <c r="V46" s="481"/>
      <c r="W46" s="481"/>
      <c r="X46" s="481"/>
      <c r="Y46" s="481"/>
      <c r="Z46" s="481"/>
      <c r="AA46" s="481"/>
      <c r="AB46" s="481"/>
      <c r="AC46" s="481"/>
    </row>
    <row r="47" spans="2:29" ht="15.75" customHeight="1">
      <c r="B47" s="488" t="s">
        <v>1073</v>
      </c>
      <c r="C47" s="487"/>
      <c r="D47" s="487"/>
      <c r="E47" s="487"/>
      <c r="F47" s="487"/>
      <c r="G47" s="487"/>
      <c r="H47" s="487"/>
      <c r="I47" s="487"/>
      <c r="J47" s="486">
        <v>45364</v>
      </c>
      <c r="M47" s="486"/>
      <c r="R47" s="481"/>
      <c r="S47" s="483"/>
      <c r="T47" s="481"/>
      <c r="U47" s="481"/>
      <c r="V47" s="481"/>
      <c r="W47" s="481"/>
      <c r="X47" s="481"/>
      <c r="Y47" s="481"/>
      <c r="Z47" s="481"/>
      <c r="AA47" s="481"/>
      <c r="AB47" s="481"/>
      <c r="AC47" s="481"/>
    </row>
    <row r="48" spans="2:29" ht="6" customHeight="1">
      <c r="B48" s="485"/>
      <c r="C48" s="485"/>
      <c r="D48" s="485"/>
      <c r="E48" s="485"/>
      <c r="F48" s="485"/>
      <c r="G48" s="485"/>
      <c r="H48" s="485"/>
      <c r="I48" s="485"/>
      <c r="J48" s="485"/>
      <c r="K48" s="484"/>
      <c r="L48" s="484"/>
      <c r="M48" s="484"/>
      <c r="R48" s="481"/>
      <c r="S48" s="483"/>
      <c r="T48" s="481"/>
      <c r="U48" s="481"/>
      <c r="V48" s="481"/>
      <c r="W48" s="481"/>
      <c r="X48" s="481"/>
      <c r="Y48" s="481"/>
      <c r="Z48" s="481"/>
      <c r="AA48" s="481"/>
      <c r="AB48" s="481"/>
      <c r="AC48" s="481"/>
    </row>
    <row r="49" spans="18:29" ht="15">
      <c r="R49" s="481"/>
      <c r="S49" s="483"/>
      <c r="T49" s="481"/>
      <c r="U49" s="481"/>
      <c r="V49" s="481"/>
      <c r="W49" s="481"/>
      <c r="X49" s="481"/>
      <c r="Y49" s="481"/>
      <c r="Z49" s="481"/>
      <c r="AA49" s="481"/>
      <c r="AB49" s="481"/>
      <c r="AC49" s="481"/>
    </row>
    <row r="50" spans="18:29" ht="15">
      <c r="R50" s="481"/>
      <c r="S50" s="481"/>
      <c r="T50" s="481"/>
      <c r="U50" s="481"/>
      <c r="V50" s="481"/>
      <c r="W50" s="481"/>
      <c r="X50" s="481"/>
      <c r="Y50" s="481"/>
      <c r="Z50" s="481"/>
      <c r="AA50" s="481"/>
      <c r="AB50" s="481"/>
      <c r="AC50" s="481"/>
    </row>
    <row r="51" spans="18:29" ht="15">
      <c r="R51" s="481"/>
      <c r="S51" s="481"/>
      <c r="T51" s="481"/>
      <c r="U51" s="481"/>
      <c r="V51" s="481"/>
      <c r="W51" s="481"/>
      <c r="X51" s="481"/>
      <c r="Y51" s="481"/>
      <c r="Z51" s="481"/>
      <c r="AA51" s="481"/>
      <c r="AB51" s="481"/>
      <c r="AC51" s="481"/>
    </row>
    <row r="52" spans="18:29" ht="15">
      <c r="R52" s="481"/>
      <c r="S52" s="481"/>
      <c r="T52" s="481"/>
      <c r="U52" s="481"/>
      <c r="V52" s="481"/>
      <c r="W52" s="481"/>
      <c r="X52" s="481"/>
      <c r="Y52" s="481"/>
      <c r="Z52" s="481"/>
      <c r="AA52" s="481"/>
      <c r="AB52" s="481"/>
      <c r="AC52" s="481"/>
    </row>
    <row r="53" spans="18:29" ht="15">
      <c r="R53" s="481"/>
      <c r="S53" s="481"/>
      <c r="T53" s="481"/>
      <c r="U53" s="481"/>
      <c r="V53" s="481"/>
      <c r="W53" s="481"/>
      <c r="X53" s="481"/>
      <c r="Y53" s="481"/>
      <c r="Z53" s="481"/>
      <c r="AA53" s="481"/>
      <c r="AB53" s="481"/>
      <c r="AC53" s="481"/>
    </row>
    <row r="54" spans="18:29" ht="15">
      <c r="R54" s="481"/>
      <c r="S54" s="481"/>
      <c r="T54" s="481"/>
      <c r="U54" s="481"/>
      <c r="V54" s="481"/>
      <c r="W54" s="481"/>
      <c r="X54" s="481"/>
      <c r="Y54" s="481"/>
      <c r="Z54" s="481"/>
      <c r="AA54" s="481"/>
      <c r="AB54" s="481"/>
      <c r="AC54" s="481"/>
    </row>
    <row r="55" spans="18:29" ht="15">
      <c r="R55" s="481"/>
      <c r="S55" s="481"/>
      <c r="T55" s="481"/>
      <c r="U55" s="481"/>
      <c r="V55" s="481"/>
      <c r="W55" s="481"/>
      <c r="X55" s="481"/>
      <c r="Y55" s="481"/>
      <c r="Z55" s="481"/>
      <c r="AA55" s="481"/>
      <c r="AB55" s="481"/>
      <c r="AC55" s="481"/>
    </row>
    <row r="56" spans="17:29" ht="15">
      <c r="Q56" s="480" t="s">
        <v>1111</v>
      </c>
      <c r="R56" s="481"/>
      <c r="S56" s="481"/>
      <c r="T56" s="481"/>
      <c r="U56" s="481"/>
      <c r="V56" s="481"/>
      <c r="W56" s="481"/>
      <c r="X56" s="481"/>
      <c r="Y56" s="481"/>
      <c r="Z56" s="481"/>
      <c r="AA56" s="481"/>
      <c r="AB56" s="481"/>
      <c r="AC56" s="481"/>
    </row>
    <row r="57" spans="18:29" ht="15">
      <c r="R57" s="481"/>
      <c r="S57" s="481"/>
      <c r="T57" s="481"/>
      <c r="U57" s="481"/>
      <c r="V57" s="481"/>
      <c r="W57" s="481"/>
      <c r="X57" s="481"/>
      <c r="Y57" s="481"/>
      <c r="Z57" s="481"/>
      <c r="AA57" s="481"/>
      <c r="AB57" s="481"/>
      <c r="AC57" s="481"/>
    </row>
    <row r="58" spans="18:29" ht="15">
      <c r="R58" s="481"/>
      <c r="S58" s="481"/>
      <c r="T58" s="481"/>
      <c r="U58" s="481"/>
      <c r="V58" s="481"/>
      <c r="W58" s="481"/>
      <c r="X58" s="481"/>
      <c r="Y58" s="481"/>
      <c r="Z58" s="481"/>
      <c r="AA58" s="481"/>
      <c r="AB58" s="481"/>
      <c r="AC58" s="481"/>
    </row>
    <row r="59" spans="18:29" ht="15">
      <c r="R59" s="481"/>
      <c r="S59" s="481"/>
      <c r="T59" s="481"/>
      <c r="U59" s="481"/>
      <c r="V59" s="481"/>
      <c r="W59" s="481"/>
      <c r="X59" s="481"/>
      <c r="Y59" s="481"/>
      <c r="Z59" s="481"/>
      <c r="AA59" s="481"/>
      <c r="AB59" s="481"/>
      <c r="AC59" s="481"/>
    </row>
    <row r="60" spans="18:29" ht="15">
      <c r="R60" s="481"/>
      <c r="S60" s="481"/>
      <c r="T60" s="481"/>
      <c r="U60" s="481"/>
      <c r="V60" s="481"/>
      <c r="W60" s="481"/>
      <c r="X60" s="481"/>
      <c r="Y60" s="481"/>
      <c r="Z60" s="481"/>
      <c r="AA60" s="481"/>
      <c r="AB60" s="481"/>
      <c r="AC60" s="481"/>
    </row>
    <row r="61" spans="18:29" ht="15">
      <c r="R61" s="481"/>
      <c r="S61" s="481"/>
      <c r="T61" s="481"/>
      <c r="U61" s="481"/>
      <c r="V61" s="481"/>
      <c r="W61" s="481"/>
      <c r="X61" s="481"/>
      <c r="Y61" s="481"/>
      <c r="Z61" s="481"/>
      <c r="AA61" s="481"/>
      <c r="AB61" s="481"/>
      <c r="AC61" s="481"/>
    </row>
    <row r="62" spans="18:29" ht="15">
      <c r="R62" s="481"/>
      <c r="S62" s="481"/>
      <c r="T62" s="481"/>
      <c r="U62" s="481"/>
      <c r="V62" s="481"/>
      <c r="W62" s="481"/>
      <c r="X62" s="481"/>
      <c r="Y62" s="481"/>
      <c r="Z62" s="481"/>
      <c r="AA62" s="481"/>
      <c r="AB62" s="481"/>
      <c r="AC62" s="481"/>
    </row>
    <row r="63" spans="18:29" ht="15">
      <c r="R63" s="481"/>
      <c r="S63" s="481"/>
      <c r="T63" s="481"/>
      <c r="U63" s="481"/>
      <c r="V63" s="481"/>
      <c r="W63" s="481"/>
      <c r="X63" s="481"/>
      <c r="Y63" s="481"/>
      <c r="Z63" s="481"/>
      <c r="AA63" s="481"/>
      <c r="AB63" s="481"/>
      <c r="AC63" s="481"/>
    </row>
    <row r="64" spans="18:29" ht="15">
      <c r="R64" s="481"/>
      <c r="S64" s="481"/>
      <c r="T64" s="481"/>
      <c r="U64" s="481"/>
      <c r="V64" s="481"/>
      <c r="W64" s="481"/>
      <c r="X64" s="481"/>
      <c r="Y64" s="481"/>
      <c r="Z64" s="481"/>
      <c r="AA64" s="481"/>
      <c r="AB64" s="481"/>
      <c r="AC64" s="481"/>
    </row>
    <row r="65" spans="18:29" ht="15">
      <c r="R65" s="481"/>
      <c r="S65" s="481"/>
      <c r="T65" s="481"/>
      <c r="U65" s="481"/>
      <c r="V65" s="481"/>
      <c r="W65" s="481"/>
      <c r="X65" s="481"/>
      <c r="Y65" s="481"/>
      <c r="Z65" s="481"/>
      <c r="AA65" s="481"/>
      <c r="AB65" s="481"/>
      <c r="AC65" s="481"/>
    </row>
    <row r="66" spans="18:29" ht="15">
      <c r="R66" s="481"/>
      <c r="S66" s="481"/>
      <c r="T66" s="481"/>
      <c r="U66" s="481"/>
      <c r="V66" s="481"/>
      <c r="W66" s="481"/>
      <c r="X66" s="481"/>
      <c r="Y66" s="481"/>
      <c r="Z66" s="481"/>
      <c r="AA66" s="481"/>
      <c r="AB66" s="481"/>
      <c r="AC66" s="481"/>
    </row>
    <row r="67" spans="18:29" ht="15">
      <c r="R67" s="481"/>
      <c r="S67" s="481"/>
      <c r="T67" s="481"/>
      <c r="U67" s="481"/>
      <c r="V67" s="481"/>
      <c r="W67" s="481"/>
      <c r="X67" s="481"/>
      <c r="Y67" s="481"/>
      <c r="Z67" s="481"/>
      <c r="AA67" s="481"/>
      <c r="AB67" s="481"/>
      <c r="AC67" s="481"/>
    </row>
    <row r="68" spans="18:29" ht="15">
      <c r="R68" s="481"/>
      <c r="S68" s="481"/>
      <c r="T68" s="481"/>
      <c r="U68" s="481"/>
      <c r="V68" s="481"/>
      <c r="W68" s="481"/>
      <c r="X68" s="481"/>
      <c r="Y68" s="481"/>
      <c r="Z68" s="481"/>
      <c r="AA68" s="481"/>
      <c r="AB68" s="481"/>
      <c r="AC68" s="481"/>
    </row>
    <row r="69" spans="18:29" ht="15">
      <c r="R69" s="481"/>
      <c r="S69" s="481"/>
      <c r="T69" s="481"/>
      <c r="U69" s="481"/>
      <c r="V69" s="481"/>
      <c r="W69" s="481"/>
      <c r="X69" s="481"/>
      <c r="Y69" s="481"/>
      <c r="Z69" s="481"/>
      <c r="AA69" s="481"/>
      <c r="AB69" s="481"/>
      <c r="AC69" s="481"/>
    </row>
    <row r="70" spans="18:29" ht="15">
      <c r="R70" s="481"/>
      <c r="S70" s="481"/>
      <c r="T70" s="481"/>
      <c r="U70" s="481"/>
      <c r="V70" s="481"/>
      <c r="W70" s="481"/>
      <c r="X70" s="481"/>
      <c r="Y70" s="481"/>
      <c r="Z70" s="481"/>
      <c r="AA70" s="481"/>
      <c r="AB70" s="481"/>
      <c r="AC70" s="481"/>
    </row>
    <row r="71" spans="18:29" ht="15">
      <c r="R71" s="481"/>
      <c r="S71" s="481"/>
      <c r="T71" s="481"/>
      <c r="U71" s="481"/>
      <c r="V71" s="481"/>
      <c r="W71" s="481"/>
      <c r="X71" s="481"/>
      <c r="Y71" s="481"/>
      <c r="Z71" s="481"/>
      <c r="AA71" s="481"/>
      <c r="AB71" s="481"/>
      <c r="AC71" s="481"/>
    </row>
    <row r="72" spans="18:29" ht="15">
      <c r="R72" s="481"/>
      <c r="S72" s="481"/>
      <c r="T72" s="481"/>
      <c r="U72" s="481"/>
      <c r="V72" s="481"/>
      <c r="W72" s="481"/>
      <c r="X72" s="481"/>
      <c r="Y72" s="481"/>
      <c r="Z72" s="481"/>
      <c r="AA72" s="481"/>
      <c r="AB72" s="481"/>
      <c r="AC72" s="481"/>
    </row>
    <row r="73" spans="18:29" ht="15">
      <c r="R73" s="481"/>
      <c r="S73" s="483"/>
      <c r="T73" s="481"/>
      <c r="U73" s="481"/>
      <c r="V73" s="481"/>
      <c r="W73" s="481"/>
      <c r="X73" s="481"/>
      <c r="Y73" s="481"/>
      <c r="Z73" s="481"/>
      <c r="AA73" s="481"/>
      <c r="AB73" s="481"/>
      <c r="AC73" s="481"/>
    </row>
    <row r="74" spans="18:29" ht="15">
      <c r="R74" s="481"/>
      <c r="S74" s="483"/>
      <c r="T74" s="481"/>
      <c r="U74" s="481"/>
      <c r="V74" s="481"/>
      <c r="W74" s="481"/>
      <c r="X74" s="481"/>
      <c r="Y74" s="481"/>
      <c r="Z74" s="481"/>
      <c r="AA74" s="481"/>
      <c r="AB74" s="481"/>
      <c r="AC74" s="481"/>
    </row>
    <row r="75" spans="18:29" ht="15">
      <c r="R75" s="481"/>
      <c r="S75" s="481"/>
      <c r="T75" s="481"/>
      <c r="U75" s="481"/>
      <c r="V75" s="481"/>
      <c r="W75" s="481"/>
      <c r="X75" s="481"/>
      <c r="Y75" s="481"/>
      <c r="Z75" s="481"/>
      <c r="AA75" s="481"/>
      <c r="AB75" s="481"/>
      <c r="AC75" s="481"/>
    </row>
    <row r="76" spans="18:29" ht="15">
      <c r="R76" s="481"/>
      <c r="S76" s="482"/>
      <c r="T76" s="482"/>
      <c r="U76" s="482"/>
      <c r="V76" s="482"/>
      <c r="W76" s="482"/>
      <c r="X76" s="482"/>
      <c r="Y76" s="482"/>
      <c r="Z76" s="482"/>
      <c r="AA76" s="482"/>
      <c r="AB76" s="481"/>
      <c r="AC76" s="481"/>
    </row>
    <row r="77" spans="18:29" ht="15">
      <c r="R77" s="481"/>
      <c r="S77" s="481"/>
      <c r="T77" s="481"/>
      <c r="U77" s="481"/>
      <c r="V77" s="481"/>
      <c r="W77" s="481"/>
      <c r="X77" s="481"/>
      <c r="Y77" s="481"/>
      <c r="Z77" s="481"/>
      <c r="AA77" s="481"/>
      <c r="AB77" s="481"/>
      <c r="AC77" s="481"/>
    </row>
    <row r="78" spans="18:29" ht="15">
      <c r="R78" s="481"/>
      <c r="S78" s="481"/>
      <c r="T78" s="481"/>
      <c r="U78" s="481"/>
      <c r="V78" s="481"/>
      <c r="W78" s="481"/>
      <c r="X78" s="481"/>
      <c r="Y78" s="481"/>
      <c r="Z78" s="481"/>
      <c r="AA78" s="481"/>
      <c r="AB78" s="481"/>
      <c r="AC78" s="481"/>
    </row>
    <row r="79" spans="18:29" ht="15">
      <c r="R79" s="481"/>
      <c r="S79" s="481"/>
      <c r="T79" s="481"/>
      <c r="U79" s="481"/>
      <c r="V79" s="481"/>
      <c r="W79" s="481"/>
      <c r="X79" s="481"/>
      <c r="Y79" s="481"/>
      <c r="Z79" s="481"/>
      <c r="AA79" s="481"/>
      <c r="AB79" s="481"/>
      <c r="AC79" s="481"/>
    </row>
    <row r="80" spans="18:29" ht="15">
      <c r="R80" s="481"/>
      <c r="S80" s="481"/>
      <c r="T80" s="481"/>
      <c r="U80" s="481"/>
      <c r="V80" s="481"/>
      <c r="W80" s="481"/>
      <c r="X80" s="481"/>
      <c r="Y80" s="481"/>
      <c r="Z80" s="481"/>
      <c r="AA80" s="481"/>
      <c r="AB80" s="481"/>
      <c r="AC80" s="481"/>
    </row>
    <row r="81" spans="18:29" ht="15">
      <c r="R81" s="481"/>
      <c r="S81" s="481"/>
      <c r="T81" s="481"/>
      <c r="U81" s="481"/>
      <c r="V81" s="481"/>
      <c r="W81" s="481"/>
      <c r="X81" s="481"/>
      <c r="Y81" s="481"/>
      <c r="Z81" s="481"/>
      <c r="AA81" s="481"/>
      <c r="AB81" s="481"/>
      <c r="AC81" s="481"/>
    </row>
    <row r="82" spans="18:29" ht="15">
      <c r="R82" s="481"/>
      <c r="S82" s="481"/>
      <c r="T82" s="481"/>
      <c r="U82" s="481"/>
      <c r="V82" s="481"/>
      <c r="W82" s="481"/>
      <c r="X82" s="481"/>
      <c r="Y82" s="481"/>
      <c r="Z82" s="481"/>
      <c r="AA82" s="481"/>
      <c r="AB82" s="481"/>
      <c r="AC82" s="481"/>
    </row>
    <row r="83" spans="18:29" ht="15">
      <c r="R83" s="481"/>
      <c r="S83" s="481"/>
      <c r="T83" s="481"/>
      <c r="U83" s="481"/>
      <c r="V83" s="481"/>
      <c r="W83" s="481"/>
      <c r="X83" s="481"/>
      <c r="Y83" s="481"/>
      <c r="Z83" s="481"/>
      <c r="AA83" s="481"/>
      <c r="AB83" s="481"/>
      <c r="AC83" s="481"/>
    </row>
    <row r="84" spans="18:29" ht="15">
      <c r="R84" s="481"/>
      <c r="S84" s="481"/>
      <c r="T84" s="481"/>
      <c r="U84" s="481"/>
      <c r="V84" s="481"/>
      <c r="W84" s="481"/>
      <c r="X84" s="481"/>
      <c r="Y84" s="481"/>
      <c r="Z84" s="481"/>
      <c r="AA84" s="481"/>
      <c r="AB84" s="481"/>
      <c r="AC84" s="481"/>
    </row>
    <row r="85" spans="18:29" ht="15">
      <c r="R85" s="481"/>
      <c r="S85" s="481"/>
      <c r="T85" s="481"/>
      <c r="U85" s="481"/>
      <c r="V85" s="481"/>
      <c r="W85" s="481"/>
      <c r="X85" s="481"/>
      <c r="Y85" s="481"/>
      <c r="Z85" s="481"/>
      <c r="AA85" s="481"/>
      <c r="AB85" s="481"/>
      <c r="AC85" s="481"/>
    </row>
    <row r="86" spans="18:29" ht="15">
      <c r="R86" s="481"/>
      <c r="S86" s="481"/>
      <c r="T86" s="481"/>
      <c r="U86" s="481"/>
      <c r="V86" s="481"/>
      <c r="W86" s="481"/>
      <c r="X86" s="481"/>
      <c r="Y86" s="481"/>
      <c r="Z86" s="481"/>
      <c r="AA86" s="481"/>
      <c r="AB86" s="481"/>
      <c r="AC86" s="481"/>
    </row>
    <row r="87" spans="18:29" ht="15">
      <c r="R87" s="481"/>
      <c r="S87" s="481"/>
      <c r="T87" s="481"/>
      <c r="U87" s="481"/>
      <c r="V87" s="481"/>
      <c r="W87" s="481"/>
      <c r="X87" s="481"/>
      <c r="Y87" s="481"/>
      <c r="Z87" s="481"/>
      <c r="AA87" s="481"/>
      <c r="AB87" s="481"/>
      <c r="AC87" s="481"/>
    </row>
    <row r="88" spans="18:29" ht="15">
      <c r="R88" s="481"/>
      <c r="S88" s="481"/>
      <c r="T88" s="481"/>
      <c r="U88" s="481"/>
      <c r="V88" s="481"/>
      <c r="W88" s="481"/>
      <c r="X88" s="481"/>
      <c r="Y88" s="481"/>
      <c r="Z88" s="481"/>
      <c r="AA88" s="481"/>
      <c r="AB88" s="481"/>
      <c r="AC88" s="481"/>
    </row>
    <row r="89" spans="18:29" ht="15">
      <c r="R89" s="481"/>
      <c r="S89" s="481"/>
      <c r="T89" s="481"/>
      <c r="U89" s="481"/>
      <c r="V89" s="481"/>
      <c r="W89" s="481"/>
      <c r="X89" s="481"/>
      <c r="Y89" s="481"/>
      <c r="Z89" s="481"/>
      <c r="AA89" s="481"/>
      <c r="AB89" s="481"/>
      <c r="AC89" s="481"/>
    </row>
    <row r="90" spans="18:29" ht="15">
      <c r="R90" s="481"/>
      <c r="S90" s="481"/>
      <c r="T90" s="481"/>
      <c r="U90" s="481"/>
      <c r="V90" s="481"/>
      <c r="W90" s="481"/>
      <c r="X90" s="481"/>
      <c r="Y90" s="481"/>
      <c r="Z90" s="481"/>
      <c r="AA90" s="481"/>
      <c r="AB90" s="481"/>
      <c r="AC90" s="481"/>
    </row>
    <row r="91" spans="18:29" ht="15">
      <c r="R91" s="481"/>
      <c r="S91" s="481"/>
      <c r="T91" s="481"/>
      <c r="U91" s="481"/>
      <c r="V91" s="481"/>
      <c r="W91" s="481"/>
      <c r="X91" s="481"/>
      <c r="Y91" s="481"/>
      <c r="Z91" s="481"/>
      <c r="AA91" s="481"/>
      <c r="AB91" s="481"/>
      <c r="AC91" s="481"/>
    </row>
    <row r="92" spans="18:29" ht="15">
      <c r="R92" s="481"/>
      <c r="S92" s="481"/>
      <c r="T92" s="481"/>
      <c r="U92" s="481"/>
      <c r="V92" s="481"/>
      <c r="W92" s="481"/>
      <c r="X92" s="481"/>
      <c r="Y92" s="481"/>
      <c r="Z92" s="481"/>
      <c r="AA92" s="481"/>
      <c r="AB92" s="481"/>
      <c r="AC92" s="481"/>
    </row>
    <row r="93" spans="18:29" ht="15">
      <c r="R93" s="481"/>
      <c r="S93" s="481"/>
      <c r="T93" s="481"/>
      <c r="U93" s="481"/>
      <c r="V93" s="481"/>
      <c r="W93" s="481"/>
      <c r="X93" s="481"/>
      <c r="Y93" s="481"/>
      <c r="Z93" s="481"/>
      <c r="AA93" s="481"/>
      <c r="AB93" s="481"/>
      <c r="AC93" s="481"/>
    </row>
    <row r="94" spans="18:29" ht="15">
      <c r="R94" s="481"/>
      <c r="S94" s="481"/>
      <c r="T94" s="481"/>
      <c r="U94" s="481"/>
      <c r="V94" s="481"/>
      <c r="W94" s="481"/>
      <c r="X94" s="481"/>
      <c r="Y94" s="481"/>
      <c r="Z94" s="481"/>
      <c r="AA94" s="481"/>
      <c r="AB94" s="481"/>
      <c r="AC94" s="481"/>
    </row>
    <row r="95" spans="18:29" ht="15">
      <c r="R95" s="481"/>
      <c r="S95" s="481"/>
      <c r="T95" s="481"/>
      <c r="U95" s="481"/>
      <c r="V95" s="481"/>
      <c r="W95" s="481"/>
      <c r="X95" s="481"/>
      <c r="Y95" s="481"/>
      <c r="Z95" s="481"/>
      <c r="AA95" s="481"/>
      <c r="AB95" s="481"/>
      <c r="AC95" s="481"/>
    </row>
    <row r="96" spans="18:29" ht="15">
      <c r="R96" s="481"/>
      <c r="S96" s="481"/>
      <c r="T96" s="481"/>
      <c r="U96" s="481"/>
      <c r="V96" s="481"/>
      <c r="W96" s="481"/>
      <c r="X96" s="481"/>
      <c r="Y96" s="481"/>
      <c r="Z96" s="481"/>
      <c r="AA96" s="481"/>
      <c r="AB96" s="481"/>
      <c r="AC96" s="481"/>
    </row>
    <row r="97" spans="18:29" ht="15">
      <c r="R97" s="481"/>
      <c r="S97" s="481"/>
      <c r="T97" s="481"/>
      <c r="U97" s="481"/>
      <c r="V97" s="481"/>
      <c r="W97" s="481"/>
      <c r="X97" s="481"/>
      <c r="Y97" s="481"/>
      <c r="Z97" s="481"/>
      <c r="AA97" s="481"/>
      <c r="AB97" s="481"/>
      <c r="AC97" s="481"/>
    </row>
    <row r="98" spans="18:29" ht="15">
      <c r="R98" s="481"/>
      <c r="S98" s="481"/>
      <c r="T98" s="481"/>
      <c r="U98" s="481"/>
      <c r="V98" s="481"/>
      <c r="W98" s="481"/>
      <c r="X98" s="481"/>
      <c r="Y98" s="481"/>
      <c r="Z98" s="481"/>
      <c r="AA98" s="481"/>
      <c r="AB98" s="481"/>
      <c r="AC98" s="481"/>
    </row>
    <row r="99" spans="18:29" ht="15">
      <c r="R99" s="481"/>
      <c r="S99" s="481"/>
      <c r="T99" s="481"/>
      <c r="U99" s="481"/>
      <c r="V99" s="481"/>
      <c r="W99" s="481"/>
      <c r="X99" s="481"/>
      <c r="Y99" s="481"/>
      <c r="Z99" s="481"/>
      <c r="AA99" s="481"/>
      <c r="AB99" s="481"/>
      <c r="AC99" s="481"/>
    </row>
    <row r="100" spans="18:29" ht="15">
      <c r="R100" s="481"/>
      <c r="S100" s="481"/>
      <c r="T100" s="481"/>
      <c r="U100" s="481"/>
      <c r="V100" s="481"/>
      <c r="W100" s="481"/>
      <c r="X100" s="481"/>
      <c r="Y100" s="481"/>
      <c r="Z100" s="481"/>
      <c r="AA100" s="481"/>
      <c r="AB100" s="481"/>
      <c r="AC100" s="481"/>
    </row>
    <row r="101" spans="18:29" ht="15">
      <c r="R101" s="481"/>
      <c r="S101" s="481"/>
      <c r="T101" s="481"/>
      <c r="U101" s="481"/>
      <c r="V101" s="481"/>
      <c r="W101" s="481"/>
      <c r="X101" s="481"/>
      <c r="Y101" s="481"/>
      <c r="Z101" s="481"/>
      <c r="AA101" s="481"/>
      <c r="AB101" s="481"/>
      <c r="AC101" s="481"/>
    </row>
    <row r="102" spans="18:29" ht="15">
      <c r="R102" s="481"/>
      <c r="S102" s="481"/>
      <c r="T102" s="481"/>
      <c r="U102" s="481"/>
      <c r="V102" s="481"/>
      <c r="W102" s="481"/>
      <c r="X102" s="481"/>
      <c r="Y102" s="481"/>
      <c r="Z102" s="481"/>
      <c r="AA102" s="481"/>
      <c r="AB102" s="481"/>
      <c r="AC102" s="481"/>
    </row>
    <row r="103" spans="18:29" ht="15">
      <c r="R103" s="481"/>
      <c r="S103" s="481"/>
      <c r="T103" s="481"/>
      <c r="U103" s="481"/>
      <c r="V103" s="481"/>
      <c r="W103" s="481"/>
      <c r="X103" s="481"/>
      <c r="Y103" s="481"/>
      <c r="Z103" s="481"/>
      <c r="AA103" s="481"/>
      <c r="AB103" s="481"/>
      <c r="AC103" s="481"/>
    </row>
  </sheetData>
  <sheetProtection password="E71A" sheet="1" objects="1" scenarios="1"/>
  <mergeCells count="22">
    <mergeCell ref="B1:J1"/>
    <mergeCell ref="B23:J23"/>
    <mergeCell ref="B5:J5"/>
    <mergeCell ref="B17:J17"/>
    <mergeCell ref="B18:J18"/>
    <mergeCell ref="B19:J19"/>
    <mergeCell ref="B20:J20"/>
    <mergeCell ref="B7:J7"/>
    <mergeCell ref="B8:J8"/>
    <mergeCell ref="B9:J9"/>
    <mergeCell ref="B30:J30"/>
    <mergeCell ref="B32:J32"/>
    <mergeCell ref="B43:J43"/>
    <mergeCell ref="B44:J44"/>
    <mergeCell ref="B24:J24"/>
    <mergeCell ref="B28:J28"/>
    <mergeCell ref="B10:J10"/>
    <mergeCell ref="B11:J11"/>
    <mergeCell ref="B12:J12"/>
    <mergeCell ref="B13:J13"/>
    <mergeCell ref="B15:J15"/>
    <mergeCell ref="B16:J1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80" r:id="rId2"/>
  <headerFooter>
    <oddFooter>&amp;L&amp;"Arial Narrow,Gras"&amp;8Ministère de l’Environnement, de la Lutte contre les changements climatiques, de la Faune et des Parcs&amp;R&amp;"Arial Narrow,Normal"&amp;8 2024-03-13</oddFooter>
  </headerFooter>
  <drawing r:id="rId1"/>
</worksheet>
</file>

<file path=xl/worksheets/sheet2.xml><?xml version="1.0" encoding="utf-8"?>
<worksheet xmlns="http://schemas.openxmlformats.org/spreadsheetml/2006/main" xmlns:r="http://schemas.openxmlformats.org/officeDocument/2006/relationships">
  <sheetPr codeName="Feuil14">
    <tabColor rgb="FF1C829A"/>
    <pageSetUpPr fitToPage="1"/>
  </sheetPr>
  <dimension ref="B1:AL109"/>
  <sheetViews>
    <sheetView showGridLines="0" showRowColHeaders="0" zoomScaleSheetLayoutView="100" zoomScalePageLayoutView="0" workbookViewId="0" topLeftCell="A1">
      <pane xSplit="10" topLeftCell="K1" activePane="topRight" state="frozen"/>
      <selection pane="topLeft" activeCell="A1" sqref="A1"/>
      <selection pane="topRight" activeCell="B7" sqref="B7:H7"/>
    </sheetView>
  </sheetViews>
  <sheetFormatPr defaultColWidth="10.7109375" defaultRowHeight="15.75" customHeight="1"/>
  <cols>
    <col min="1" max="1" width="2.28125" style="487" customWidth="1"/>
    <col min="2" max="3" width="10.7109375" style="487" customWidth="1"/>
    <col min="4" max="4" width="11.140625" style="487" customWidth="1"/>
    <col min="5" max="6" width="10.7109375" style="487" customWidth="1"/>
    <col min="7" max="7" width="14.7109375" style="487" customWidth="1"/>
    <col min="8" max="8" width="9.7109375" style="487" customWidth="1"/>
    <col min="9" max="10" width="10.7109375" style="487" customWidth="1"/>
    <col min="11" max="11" width="2.28125" style="487" customWidth="1"/>
    <col min="12" max="16384" width="10.7109375" style="487" customWidth="1"/>
  </cols>
  <sheetData>
    <row r="1" spans="2:10" ht="60" customHeight="1">
      <c r="B1" s="609"/>
      <c r="C1" s="609"/>
      <c r="D1" s="609"/>
      <c r="E1" s="609"/>
      <c r="F1" s="609"/>
      <c r="G1" s="609"/>
      <c r="H1" s="609"/>
      <c r="I1" s="609"/>
      <c r="J1" s="609"/>
    </row>
    <row r="2" ht="18" customHeight="1"/>
    <row r="3" spans="2:10" ht="25.5" customHeight="1">
      <c r="B3" s="692" t="s">
        <v>1152</v>
      </c>
      <c r="C3" s="692"/>
      <c r="D3" s="692"/>
      <c r="E3" s="692"/>
      <c r="F3" s="692"/>
      <c r="G3" s="692"/>
      <c r="H3" s="692"/>
      <c r="I3" s="692"/>
      <c r="J3" s="692"/>
    </row>
    <row r="4" ht="9.75" customHeight="1"/>
    <row r="5" spans="2:11" ht="16.5" customHeight="1">
      <c r="B5" s="634" t="s">
        <v>1148</v>
      </c>
      <c r="C5" s="635"/>
      <c r="D5" s="635"/>
      <c r="E5" s="635"/>
      <c r="F5" s="635"/>
      <c r="G5" s="635"/>
      <c r="H5" s="635"/>
      <c r="I5" s="635"/>
      <c r="J5" s="636"/>
      <c r="K5" s="512"/>
    </row>
    <row r="6" spans="2:10" ht="15.75" customHeight="1">
      <c r="B6" s="671" t="s">
        <v>1089</v>
      </c>
      <c r="C6" s="672"/>
      <c r="D6" s="672"/>
      <c r="E6" s="672"/>
      <c r="F6" s="672"/>
      <c r="G6" s="672"/>
      <c r="H6" s="673"/>
      <c r="I6" s="671" t="s">
        <v>1086</v>
      </c>
      <c r="J6" s="673"/>
    </row>
    <row r="7" spans="2:10" ht="15.75" customHeight="1">
      <c r="B7" s="674"/>
      <c r="C7" s="675"/>
      <c r="D7" s="675"/>
      <c r="E7" s="675"/>
      <c r="F7" s="675"/>
      <c r="G7" s="675"/>
      <c r="H7" s="676"/>
      <c r="I7" s="674"/>
      <c r="J7" s="676"/>
    </row>
    <row r="8" spans="2:10" ht="15.75" customHeight="1">
      <c r="B8" s="671" t="s">
        <v>1085</v>
      </c>
      <c r="C8" s="672"/>
      <c r="D8" s="672"/>
      <c r="E8" s="672"/>
      <c r="F8" s="672"/>
      <c r="G8" s="672"/>
      <c r="H8" s="672"/>
      <c r="I8" s="672"/>
      <c r="J8" s="673"/>
    </row>
    <row r="9" spans="2:10" ht="15.75" customHeight="1">
      <c r="B9" s="674"/>
      <c r="C9" s="675"/>
      <c r="D9" s="675"/>
      <c r="E9" s="675"/>
      <c r="F9" s="675"/>
      <c r="G9" s="675"/>
      <c r="H9" s="675"/>
      <c r="I9" s="675"/>
      <c r="J9" s="676"/>
    </row>
    <row r="10" spans="2:10" ht="15.75" customHeight="1">
      <c r="B10" s="671" t="s">
        <v>1084</v>
      </c>
      <c r="C10" s="672"/>
      <c r="D10" s="672"/>
      <c r="E10" s="672"/>
      <c r="F10" s="672"/>
      <c r="G10" s="672"/>
      <c r="H10" s="673"/>
      <c r="I10" s="671" t="s">
        <v>801</v>
      </c>
      <c r="J10" s="673"/>
    </row>
    <row r="11" spans="2:10" ht="15.75" customHeight="1">
      <c r="B11" s="674"/>
      <c r="C11" s="675"/>
      <c r="D11" s="675"/>
      <c r="E11" s="675"/>
      <c r="F11" s="675"/>
      <c r="G11" s="675"/>
      <c r="H11" s="676"/>
      <c r="I11" s="674"/>
      <c r="J11" s="676"/>
    </row>
    <row r="12" spans="2:10" ht="15.75" customHeight="1">
      <c r="B12" s="686" t="s">
        <v>1149</v>
      </c>
      <c r="C12" s="621"/>
      <c r="D12" s="621"/>
      <c r="E12" s="621"/>
      <c r="F12" s="621"/>
      <c r="G12" s="621"/>
      <c r="H12" s="621"/>
      <c r="I12" s="621"/>
      <c r="J12" s="687"/>
    </row>
    <row r="13" spans="2:10" ht="27.75" customHeight="1">
      <c r="B13" s="688"/>
      <c r="C13" s="689"/>
      <c r="D13" s="689"/>
      <c r="E13" s="689"/>
      <c r="F13" s="689"/>
      <c r="G13" s="689"/>
      <c r="H13" s="689"/>
      <c r="I13" s="689"/>
      <c r="J13" s="690"/>
    </row>
    <row r="14" ht="9.75" customHeight="1"/>
    <row r="15" spans="2:10" ht="16.5" customHeight="1">
      <c r="B15" s="634" t="s">
        <v>1112</v>
      </c>
      <c r="C15" s="635"/>
      <c r="D15" s="635"/>
      <c r="E15" s="635"/>
      <c r="F15" s="635"/>
      <c r="G15" s="635"/>
      <c r="H15" s="635"/>
      <c r="I15" s="635"/>
      <c r="J15" s="636"/>
    </row>
    <row r="16" spans="2:10" ht="15.75" customHeight="1">
      <c r="B16" s="511" t="s">
        <v>176</v>
      </c>
      <c r="C16" s="666" t="s">
        <v>177</v>
      </c>
      <c r="D16" s="667"/>
      <c r="E16" s="667"/>
      <c r="F16" s="668"/>
      <c r="G16" s="666" t="s">
        <v>1090</v>
      </c>
      <c r="H16" s="667"/>
      <c r="I16" s="667"/>
      <c r="J16" s="668"/>
    </row>
    <row r="17" spans="2:10" ht="15.75" customHeight="1">
      <c r="B17" s="568" t="s">
        <v>184</v>
      </c>
      <c r="C17" s="683"/>
      <c r="D17" s="684"/>
      <c r="E17" s="684"/>
      <c r="F17" s="685"/>
      <c r="G17" s="683"/>
      <c r="H17" s="684"/>
      <c r="I17" s="684"/>
      <c r="J17" s="685"/>
    </row>
    <row r="18" spans="2:10" ht="15.75" customHeight="1">
      <c r="B18" s="666" t="s">
        <v>112</v>
      </c>
      <c r="C18" s="667"/>
      <c r="D18" s="668"/>
      <c r="E18" s="666" t="s">
        <v>1089</v>
      </c>
      <c r="F18" s="667"/>
      <c r="G18" s="667"/>
      <c r="H18" s="668"/>
      <c r="I18" s="666" t="s">
        <v>1086</v>
      </c>
      <c r="J18" s="668"/>
    </row>
    <row r="19" spans="2:10" ht="15.75" customHeight="1">
      <c r="B19" s="683"/>
      <c r="C19" s="684"/>
      <c r="D19" s="685"/>
      <c r="E19" s="683"/>
      <c r="F19" s="684"/>
      <c r="G19" s="684"/>
      <c r="H19" s="685"/>
      <c r="I19" s="674"/>
      <c r="J19" s="676"/>
    </row>
    <row r="20" spans="2:10" ht="15.75" customHeight="1">
      <c r="B20" s="666" t="s">
        <v>1088</v>
      </c>
      <c r="C20" s="667"/>
      <c r="D20" s="562"/>
      <c r="E20" s="562"/>
      <c r="F20" s="563"/>
      <c r="G20" s="508" t="s">
        <v>115</v>
      </c>
      <c r="H20" s="506" t="s">
        <v>113</v>
      </c>
      <c r="I20" s="666" t="s">
        <v>222</v>
      </c>
      <c r="J20" s="668"/>
    </row>
    <row r="21" spans="2:10" ht="15.75" customHeight="1">
      <c r="B21" s="683"/>
      <c r="C21" s="684"/>
      <c r="D21" s="684"/>
      <c r="E21" s="684"/>
      <c r="F21" s="685"/>
      <c r="G21" s="510"/>
      <c r="H21" s="509"/>
      <c r="I21" s="679"/>
      <c r="J21" s="681"/>
    </row>
    <row r="22" spans="2:10" ht="15.75" customHeight="1">
      <c r="B22" s="671" t="s">
        <v>1085</v>
      </c>
      <c r="C22" s="672"/>
      <c r="D22" s="672"/>
      <c r="E22" s="672"/>
      <c r="F22" s="672"/>
      <c r="G22" s="672"/>
      <c r="H22" s="672"/>
      <c r="I22" s="672"/>
      <c r="J22" s="673"/>
    </row>
    <row r="23" spans="2:10" ht="15.75" customHeight="1">
      <c r="B23" s="683"/>
      <c r="C23" s="684"/>
      <c r="D23" s="684"/>
      <c r="E23" s="684"/>
      <c r="F23" s="684"/>
      <c r="G23" s="684"/>
      <c r="H23" s="684"/>
      <c r="I23" s="684"/>
      <c r="J23" s="685"/>
    </row>
    <row r="24" spans="2:10" ht="15.75" customHeight="1">
      <c r="B24" s="666" t="s">
        <v>1084</v>
      </c>
      <c r="C24" s="667"/>
      <c r="D24" s="667"/>
      <c r="E24" s="667"/>
      <c r="F24" s="667"/>
      <c r="G24" s="667"/>
      <c r="H24" s="668"/>
      <c r="I24" s="666" t="s">
        <v>801</v>
      </c>
      <c r="J24" s="668"/>
    </row>
    <row r="25" spans="2:10" ht="15.75" customHeight="1">
      <c r="B25" s="683"/>
      <c r="C25" s="684"/>
      <c r="D25" s="684"/>
      <c r="E25" s="684"/>
      <c r="F25" s="684"/>
      <c r="G25" s="684"/>
      <c r="H25" s="685"/>
      <c r="I25" s="674"/>
      <c r="J25" s="676"/>
    </row>
    <row r="26" ht="9.75" customHeight="1"/>
    <row r="27" spans="2:10" ht="16.5" customHeight="1">
      <c r="B27" s="634" t="s">
        <v>1113</v>
      </c>
      <c r="C27" s="635"/>
      <c r="D27" s="635"/>
      <c r="E27" s="635"/>
      <c r="F27" s="635"/>
      <c r="G27" s="635"/>
      <c r="H27" s="635"/>
      <c r="I27" s="635"/>
      <c r="J27" s="636"/>
    </row>
    <row r="28" spans="2:10" ht="15.75" customHeight="1">
      <c r="B28" s="686" t="s">
        <v>1091</v>
      </c>
      <c r="C28" s="621"/>
      <c r="D28" s="621"/>
      <c r="E28" s="621"/>
      <c r="F28" s="621"/>
      <c r="G28" s="621"/>
      <c r="H28" s="621"/>
      <c r="I28" s="621"/>
      <c r="J28" s="687"/>
    </row>
    <row r="29" spans="2:10" ht="15.75" customHeight="1">
      <c r="B29" s="511" t="s">
        <v>176</v>
      </c>
      <c r="C29" s="677" t="s">
        <v>177</v>
      </c>
      <c r="D29" s="677"/>
      <c r="E29" s="677"/>
      <c r="F29" s="677"/>
      <c r="G29" s="677" t="s">
        <v>1090</v>
      </c>
      <c r="H29" s="677"/>
      <c r="I29" s="677"/>
      <c r="J29" s="677"/>
    </row>
    <row r="30" spans="2:10" ht="15.75" customHeight="1">
      <c r="B30" s="568" t="s">
        <v>184</v>
      </c>
      <c r="C30" s="643"/>
      <c r="D30" s="643"/>
      <c r="E30" s="643"/>
      <c r="F30" s="643"/>
      <c r="G30" s="643"/>
      <c r="H30" s="643"/>
      <c r="I30" s="643"/>
      <c r="J30" s="643"/>
    </row>
    <row r="31" spans="2:10" ht="15.75" customHeight="1">
      <c r="B31" s="677" t="s">
        <v>112</v>
      </c>
      <c r="C31" s="677"/>
      <c r="D31" s="677"/>
      <c r="E31" s="677" t="s">
        <v>1089</v>
      </c>
      <c r="F31" s="677"/>
      <c r="G31" s="677"/>
      <c r="H31" s="677"/>
      <c r="I31" s="677" t="s">
        <v>1086</v>
      </c>
      <c r="J31" s="677"/>
    </row>
    <row r="32" spans="2:10" ht="15.75" customHeight="1">
      <c r="B32" s="643"/>
      <c r="C32" s="643"/>
      <c r="D32" s="643"/>
      <c r="E32" s="643"/>
      <c r="F32" s="643"/>
      <c r="G32" s="643"/>
      <c r="H32" s="643"/>
      <c r="I32" s="674"/>
      <c r="J32" s="676"/>
    </row>
    <row r="33" spans="2:10" ht="15.75" customHeight="1">
      <c r="B33" s="677" t="s">
        <v>1088</v>
      </c>
      <c r="C33" s="677"/>
      <c r="D33" s="677"/>
      <c r="E33" s="677"/>
      <c r="F33" s="677"/>
      <c r="G33" s="508" t="s">
        <v>115</v>
      </c>
      <c r="H33" s="506" t="s">
        <v>113</v>
      </c>
      <c r="I33" s="677" t="s">
        <v>222</v>
      </c>
      <c r="J33" s="677"/>
    </row>
    <row r="34" spans="2:10" ht="15.75" customHeight="1">
      <c r="B34" s="643"/>
      <c r="C34" s="643"/>
      <c r="D34" s="643"/>
      <c r="E34" s="643"/>
      <c r="F34" s="643"/>
      <c r="G34" s="510"/>
      <c r="H34" s="509"/>
      <c r="I34" s="678"/>
      <c r="J34" s="678"/>
    </row>
    <row r="35" spans="2:10" ht="15.75" customHeight="1">
      <c r="B35" s="677" t="s">
        <v>1085</v>
      </c>
      <c r="C35" s="677"/>
      <c r="D35" s="677"/>
      <c r="E35" s="677"/>
      <c r="F35" s="677"/>
      <c r="G35" s="677"/>
      <c r="H35" s="677"/>
      <c r="I35" s="677"/>
      <c r="J35" s="677"/>
    </row>
    <row r="36" spans="2:10" ht="15.75" customHeight="1">
      <c r="B36" s="643"/>
      <c r="C36" s="643"/>
      <c r="D36" s="643"/>
      <c r="E36" s="643"/>
      <c r="F36" s="643"/>
      <c r="G36" s="643"/>
      <c r="H36" s="643"/>
      <c r="I36" s="643"/>
      <c r="J36" s="643"/>
    </row>
    <row r="37" spans="2:10" ht="15.75" customHeight="1">
      <c r="B37" s="677" t="s">
        <v>1084</v>
      </c>
      <c r="C37" s="677"/>
      <c r="D37" s="677"/>
      <c r="E37" s="677"/>
      <c r="F37" s="677"/>
      <c r="G37" s="677"/>
      <c r="H37" s="677"/>
      <c r="I37" s="677" t="s">
        <v>801</v>
      </c>
      <c r="J37" s="677"/>
    </row>
    <row r="38" spans="2:10" ht="15.75" customHeight="1">
      <c r="B38" s="643"/>
      <c r="C38" s="643"/>
      <c r="D38" s="643"/>
      <c r="E38" s="643"/>
      <c r="F38" s="643"/>
      <c r="G38" s="643"/>
      <c r="H38" s="643"/>
      <c r="I38" s="674"/>
      <c r="J38" s="676"/>
    </row>
    <row r="39" ht="9.75" customHeight="1"/>
    <row r="40" spans="2:10" ht="16.5" customHeight="1">
      <c r="B40" s="655" t="s">
        <v>1114</v>
      </c>
      <c r="C40" s="656"/>
      <c r="D40" s="656"/>
      <c r="E40" s="656"/>
      <c r="F40" s="656"/>
      <c r="G40" s="656"/>
      <c r="H40" s="656"/>
      <c r="I40" s="656"/>
      <c r="J40" s="657"/>
    </row>
    <row r="41" spans="2:10" ht="15.75" customHeight="1">
      <c r="B41" s="677" t="s">
        <v>1087</v>
      </c>
      <c r="C41" s="677"/>
      <c r="D41" s="677"/>
      <c r="E41" s="677"/>
      <c r="F41" s="677"/>
      <c r="G41" s="677"/>
      <c r="H41" s="677"/>
      <c r="I41" s="677" t="s">
        <v>1086</v>
      </c>
      <c r="J41" s="677"/>
    </row>
    <row r="42" spans="2:10" ht="15.75" customHeight="1">
      <c r="B42" s="643"/>
      <c r="C42" s="643"/>
      <c r="D42" s="643"/>
      <c r="E42" s="643"/>
      <c r="F42" s="643"/>
      <c r="G42" s="643"/>
      <c r="H42" s="643"/>
      <c r="I42" s="674"/>
      <c r="J42" s="676"/>
    </row>
    <row r="43" spans="2:10" ht="15.75" customHeight="1">
      <c r="B43" s="671" t="s">
        <v>1085</v>
      </c>
      <c r="C43" s="672"/>
      <c r="D43" s="672"/>
      <c r="E43" s="672"/>
      <c r="F43" s="672"/>
      <c r="G43" s="672"/>
      <c r="H43" s="672"/>
      <c r="I43" s="672"/>
      <c r="J43" s="673"/>
    </row>
    <row r="44" spans="2:10" ht="15.75" customHeight="1">
      <c r="B44" s="674"/>
      <c r="C44" s="675"/>
      <c r="D44" s="675"/>
      <c r="E44" s="675"/>
      <c r="F44" s="675"/>
      <c r="G44" s="675"/>
      <c r="H44" s="675"/>
      <c r="I44" s="675"/>
      <c r="J44" s="676"/>
    </row>
    <row r="45" spans="2:10" ht="15.75" customHeight="1">
      <c r="B45" s="677" t="s">
        <v>1084</v>
      </c>
      <c r="C45" s="677"/>
      <c r="D45" s="677"/>
      <c r="E45" s="677"/>
      <c r="F45" s="677"/>
      <c r="G45" s="677"/>
      <c r="H45" s="677"/>
      <c r="I45" s="677" t="s">
        <v>801</v>
      </c>
      <c r="J45" s="677"/>
    </row>
    <row r="46" spans="2:12" ht="15.75" customHeight="1">
      <c r="B46" s="643"/>
      <c r="C46" s="643"/>
      <c r="D46" s="643"/>
      <c r="E46" s="643"/>
      <c r="F46" s="643"/>
      <c r="G46" s="643"/>
      <c r="H46" s="643"/>
      <c r="I46" s="674"/>
      <c r="J46" s="676"/>
      <c r="L46" s="505"/>
    </row>
    <row r="47" spans="2:12" ht="15.75" customHeight="1">
      <c r="B47" s="677" t="s">
        <v>1083</v>
      </c>
      <c r="C47" s="677"/>
      <c r="D47" s="677"/>
      <c r="E47" s="677"/>
      <c r="F47" s="677"/>
      <c r="G47" s="677"/>
      <c r="H47" s="677"/>
      <c r="I47" s="682" t="s">
        <v>152</v>
      </c>
      <c r="J47" s="682"/>
      <c r="L47" s="505"/>
    </row>
    <row r="48" spans="2:12" ht="15" customHeight="1">
      <c r="B48" s="679" t="s">
        <v>1081</v>
      </c>
      <c r="C48" s="680"/>
      <c r="D48" s="680"/>
      <c r="E48" s="680"/>
      <c r="F48" s="680"/>
      <c r="G48" s="680"/>
      <c r="H48" s="681"/>
      <c r="I48" s="643"/>
      <c r="J48" s="643"/>
      <c r="L48" s="505"/>
    </row>
    <row r="49" ht="9.75" customHeight="1"/>
    <row r="50" spans="2:10" ht="16.5" customHeight="1">
      <c r="B50" s="655" t="s">
        <v>1115</v>
      </c>
      <c r="C50" s="656"/>
      <c r="D50" s="656"/>
      <c r="E50" s="656"/>
      <c r="F50" s="656"/>
      <c r="G50" s="656"/>
      <c r="H50" s="656"/>
      <c r="I50" s="656"/>
      <c r="J50" s="657"/>
    </row>
    <row r="51" spans="2:10" ht="15.75" customHeight="1">
      <c r="B51" s="677" t="s">
        <v>948</v>
      </c>
      <c r="C51" s="677"/>
      <c r="D51" s="677"/>
      <c r="E51" s="658" t="s">
        <v>1121</v>
      </c>
      <c r="F51" s="660"/>
      <c r="G51" s="666" t="s">
        <v>1082</v>
      </c>
      <c r="H51" s="667"/>
      <c r="I51" s="667"/>
      <c r="J51" s="668"/>
    </row>
    <row r="52" spans="2:14" ht="15.75" customHeight="1">
      <c r="B52" s="679" t="s">
        <v>1081</v>
      </c>
      <c r="C52" s="680"/>
      <c r="D52" s="681"/>
      <c r="E52" s="661" t="s">
        <v>1081</v>
      </c>
      <c r="F52" s="661"/>
      <c r="G52" s="662" t="s">
        <v>1081</v>
      </c>
      <c r="H52" s="662"/>
      <c r="I52" s="662"/>
      <c r="J52" s="662"/>
      <c r="L52" s="505"/>
      <c r="M52" s="566"/>
      <c r="N52" s="566"/>
    </row>
    <row r="53" spans="2:10" ht="15.75" customHeight="1">
      <c r="B53" s="666"/>
      <c r="C53" s="667"/>
      <c r="D53" s="668"/>
      <c r="E53" s="658" t="s">
        <v>1125</v>
      </c>
      <c r="F53" s="659"/>
      <c r="G53" s="660"/>
      <c r="H53" s="508" t="s">
        <v>1080</v>
      </c>
      <c r="I53" s="507"/>
      <c r="J53" s="506" t="s">
        <v>120</v>
      </c>
    </row>
    <row r="54" spans="2:12" ht="15.75" customHeight="1">
      <c r="B54" s="669"/>
      <c r="C54" s="612"/>
      <c r="D54" s="670"/>
      <c r="E54" s="663"/>
      <c r="F54" s="664"/>
      <c r="G54" s="665"/>
      <c r="H54" s="640"/>
      <c r="I54" s="641"/>
      <c r="J54" s="598"/>
      <c r="L54" s="505"/>
    </row>
    <row r="55" spans="2:12" ht="19.5" customHeight="1">
      <c r="B55" s="637" t="s">
        <v>1130</v>
      </c>
      <c r="C55" s="638"/>
      <c r="D55" s="638"/>
      <c r="E55" s="638"/>
      <c r="F55" s="638"/>
      <c r="G55" s="638"/>
      <c r="H55" s="638"/>
      <c r="I55" s="638"/>
      <c r="J55" s="639"/>
      <c r="L55" s="505"/>
    </row>
    <row r="56" spans="2:10" ht="15.75" customHeight="1">
      <c r="B56" s="698" t="s">
        <v>1079</v>
      </c>
      <c r="C56" s="699"/>
      <c r="D56" s="702" t="s">
        <v>1117</v>
      </c>
      <c r="E56" s="702"/>
      <c r="F56" s="702"/>
      <c r="G56" s="702"/>
      <c r="H56" s="702"/>
      <c r="I56" s="702"/>
      <c r="J56" s="702"/>
    </row>
    <row r="57" spans="2:10" ht="15.75" customHeight="1">
      <c r="B57" s="700"/>
      <c r="C57" s="701"/>
      <c r="D57" s="703"/>
      <c r="E57" s="643"/>
      <c r="F57" s="643"/>
      <c r="G57" s="643"/>
      <c r="H57" s="643"/>
      <c r="I57" s="643"/>
      <c r="J57" s="643"/>
    </row>
    <row r="58" ht="9.75" customHeight="1"/>
    <row r="59" spans="2:10" ht="16.5" customHeight="1">
      <c r="B59" s="655" t="s">
        <v>1124</v>
      </c>
      <c r="C59" s="656"/>
      <c r="D59" s="656"/>
      <c r="E59" s="656"/>
      <c r="F59" s="656"/>
      <c r="G59" s="656"/>
      <c r="H59" s="656"/>
      <c r="I59" s="656"/>
      <c r="J59" s="657"/>
    </row>
    <row r="60" spans="2:12" s="586" customFormat="1" ht="15.75" customHeight="1">
      <c r="B60" s="666" t="s">
        <v>1119</v>
      </c>
      <c r="C60" s="667"/>
      <c r="D60" s="668"/>
      <c r="E60" s="666" t="s">
        <v>1122</v>
      </c>
      <c r="F60" s="667"/>
      <c r="G60" s="668"/>
      <c r="H60" s="666" t="s">
        <v>1123</v>
      </c>
      <c r="I60" s="668"/>
      <c r="J60" s="587" t="s">
        <v>1120</v>
      </c>
      <c r="L60" s="505"/>
    </row>
    <row r="61" spans="2:10" s="586" customFormat="1" ht="15.75" customHeight="1">
      <c r="B61" s="652">
        <f>_xlfn.IFERROR('1. Demande'!AE106,"")</f>
      </c>
      <c r="C61" s="653"/>
      <c r="D61" s="654"/>
      <c r="E61" s="693">
        <f>_xlfn.IFERROR(IF('2. Plan d''implantation'!L20=0,"",'2. Plan d''implantation'!L20),"")</f>
      </c>
      <c r="F61" s="694"/>
      <c r="G61" s="695"/>
      <c r="H61" s="696">
        <f>_xlfn.IFERROR('1. Demande'!AJ106,"")</f>
      </c>
      <c r="I61" s="697"/>
      <c r="J61" s="588">
        <f>_xlfn.IFERROR('1. Demande'!AN106,"")</f>
      </c>
    </row>
    <row r="62" ht="9.75" customHeight="1"/>
    <row r="63" spans="2:10" ht="16.5" customHeight="1">
      <c r="B63" s="634" t="s">
        <v>1128</v>
      </c>
      <c r="C63" s="635"/>
      <c r="D63" s="635"/>
      <c r="E63" s="635"/>
      <c r="F63" s="635"/>
      <c r="G63" s="635"/>
      <c r="H63" s="635"/>
      <c r="I63" s="635"/>
      <c r="J63" s="636"/>
    </row>
    <row r="64" spans="2:10" ht="57" customHeight="1">
      <c r="B64" s="646" t="s">
        <v>1150</v>
      </c>
      <c r="C64" s="647"/>
      <c r="D64" s="647"/>
      <c r="E64" s="647"/>
      <c r="F64" s="647"/>
      <c r="G64" s="647"/>
      <c r="H64" s="647"/>
      <c r="I64" s="647"/>
      <c r="J64" s="648"/>
    </row>
    <row r="65" spans="2:10" ht="30.75" customHeight="1" thickBot="1">
      <c r="B65" s="649" t="s">
        <v>1131</v>
      </c>
      <c r="C65" s="650"/>
      <c r="D65" s="650"/>
      <c r="E65" s="650"/>
      <c r="F65" s="650"/>
      <c r="G65" s="650"/>
      <c r="H65" s="650"/>
      <c r="I65" s="650"/>
      <c r="J65" s="651"/>
    </row>
    <row r="66" spans="2:10" ht="15.75" customHeight="1" thickTop="1">
      <c r="B66" s="630" t="s">
        <v>1137</v>
      </c>
      <c r="C66" s="631"/>
      <c r="D66" s="631"/>
      <c r="E66" s="631"/>
      <c r="F66" s="631"/>
      <c r="G66" s="631"/>
      <c r="H66" s="631"/>
      <c r="I66" s="644" t="s">
        <v>1078</v>
      </c>
      <c r="J66" s="645"/>
    </row>
    <row r="67" spans="2:10" ht="15.75" customHeight="1">
      <c r="B67" s="632"/>
      <c r="C67" s="633"/>
      <c r="D67" s="633"/>
      <c r="E67" s="633"/>
      <c r="F67" s="633"/>
      <c r="G67" s="633"/>
      <c r="H67" s="633"/>
      <c r="I67" s="642"/>
      <c r="J67" s="643"/>
    </row>
    <row r="68" ht="9.75" customHeight="1"/>
    <row r="69" spans="2:10" ht="16.5" customHeight="1">
      <c r="B69" s="634" t="s">
        <v>1129</v>
      </c>
      <c r="C69" s="635"/>
      <c r="D69" s="635"/>
      <c r="E69" s="635"/>
      <c r="F69" s="635"/>
      <c r="G69" s="635"/>
      <c r="H69" s="635"/>
      <c r="I69" s="635"/>
      <c r="J69" s="636"/>
    </row>
    <row r="70" spans="2:12" ht="15.75" customHeight="1">
      <c r="B70" s="589" t="s">
        <v>1136</v>
      </c>
      <c r="C70" s="593"/>
      <c r="D70" s="593"/>
      <c r="E70" s="593"/>
      <c r="F70" s="577"/>
      <c r="G70" s="577"/>
      <c r="H70" s="577"/>
      <c r="I70" s="577"/>
      <c r="J70" s="578"/>
      <c r="L70" s="505"/>
    </row>
    <row r="71" spans="2:10" ht="15.75" customHeight="1">
      <c r="B71" s="590" t="s">
        <v>1132</v>
      </c>
      <c r="C71" s="504"/>
      <c r="D71" s="504"/>
      <c r="E71" s="504"/>
      <c r="F71" s="570"/>
      <c r="G71" s="570"/>
      <c r="H71" s="570"/>
      <c r="I71" s="570"/>
      <c r="J71" s="571"/>
    </row>
    <row r="72" spans="2:10" ht="15.75" customHeight="1">
      <c r="B72" s="590" t="s">
        <v>1106</v>
      </c>
      <c r="C72" s="567"/>
      <c r="D72" s="567"/>
      <c r="E72" s="567"/>
      <c r="F72" s="484"/>
      <c r="G72" s="484"/>
      <c r="H72" s="484"/>
      <c r="I72" s="484"/>
      <c r="J72" s="572"/>
    </row>
    <row r="73" spans="2:10" ht="15.75" customHeight="1">
      <c r="B73" s="590" t="s">
        <v>1107</v>
      </c>
      <c r="C73" s="504"/>
      <c r="D73" s="504"/>
      <c r="E73" s="504"/>
      <c r="F73" s="570"/>
      <c r="G73" s="570"/>
      <c r="H73" s="570"/>
      <c r="I73" s="570"/>
      <c r="J73" s="571"/>
    </row>
    <row r="74" spans="2:10" s="569" customFormat="1" ht="15.75" customHeight="1">
      <c r="B74" s="590" t="s">
        <v>1108</v>
      </c>
      <c r="C74" s="504"/>
      <c r="D74" s="504"/>
      <c r="E74" s="504"/>
      <c r="F74" s="570"/>
      <c r="G74" s="570"/>
      <c r="H74" s="570"/>
      <c r="I74" s="570"/>
      <c r="J74" s="571"/>
    </row>
    <row r="75" spans="2:10" s="569" customFormat="1" ht="15.75" customHeight="1">
      <c r="B75" s="591" t="s">
        <v>1133</v>
      </c>
      <c r="C75" s="504"/>
      <c r="D75" s="504"/>
      <c r="E75" s="504"/>
      <c r="F75" s="570"/>
      <c r="G75" s="570"/>
      <c r="H75" s="570"/>
      <c r="I75" s="570"/>
      <c r="J75" s="571"/>
    </row>
    <row r="76" spans="2:10" ht="15.75" customHeight="1">
      <c r="B76" s="591" t="s">
        <v>1134</v>
      </c>
      <c r="C76" s="504"/>
      <c r="D76" s="504"/>
      <c r="E76" s="504"/>
      <c r="F76" s="570"/>
      <c r="G76" s="570"/>
      <c r="H76" s="570"/>
      <c r="I76" s="570"/>
      <c r="J76" s="571"/>
    </row>
    <row r="77" spans="2:10" s="569" customFormat="1" ht="15.75" customHeight="1">
      <c r="B77" s="592" t="s">
        <v>1118</v>
      </c>
      <c r="C77" s="564"/>
      <c r="D77" s="564"/>
      <c r="E77" s="564"/>
      <c r="F77" s="564"/>
      <c r="G77" s="564"/>
      <c r="H77" s="564"/>
      <c r="I77" s="564"/>
      <c r="J77" s="565"/>
    </row>
    <row r="78" spans="2:10" s="576" customFormat="1" ht="15.75" customHeight="1">
      <c r="B78" s="584"/>
      <c r="C78" s="573"/>
      <c r="D78" s="573"/>
      <c r="E78" s="573"/>
      <c r="F78" s="573"/>
      <c r="G78" s="573"/>
      <c r="H78" s="573"/>
      <c r="I78" s="573"/>
      <c r="J78" s="573"/>
    </row>
    <row r="80" spans="2:10" ht="15.75" customHeight="1">
      <c r="B80" s="488" t="s">
        <v>1073</v>
      </c>
      <c r="J80" s="486">
        <f>Instructions!J47</f>
        <v>45364</v>
      </c>
    </row>
    <row r="81" spans="2:10" ht="6" customHeight="1">
      <c r="B81" s="691"/>
      <c r="C81" s="691"/>
      <c r="D81" s="691"/>
      <c r="E81" s="691"/>
      <c r="F81" s="691"/>
      <c r="G81" s="691"/>
      <c r="H81" s="691"/>
      <c r="I81" s="691"/>
      <c r="J81" s="691"/>
    </row>
    <row r="109" ht="15.75" customHeight="1">
      <c r="AL109" s="487" t="b">
        <v>0</v>
      </c>
    </row>
  </sheetData>
  <sheetProtection password="E71A" sheet="1" objects="1" scenarios="1"/>
  <mergeCells count="103">
    <mergeCell ref="C16:F16"/>
    <mergeCell ref="B19:D19"/>
    <mergeCell ref="E60:G60"/>
    <mergeCell ref="H60:I60"/>
    <mergeCell ref="E61:G61"/>
    <mergeCell ref="H61:I61"/>
    <mergeCell ref="B56:C57"/>
    <mergeCell ref="D56:J56"/>
    <mergeCell ref="D57:J57"/>
    <mergeCell ref="I18:J18"/>
    <mergeCell ref="B81:J81"/>
    <mergeCell ref="B69:J69"/>
    <mergeCell ref="E32:H32"/>
    <mergeCell ref="B21:F21"/>
    <mergeCell ref="B18:D18"/>
    <mergeCell ref="B3:J3"/>
    <mergeCell ref="B9:J9"/>
    <mergeCell ref="I10:J10"/>
    <mergeCell ref="I11:J11"/>
    <mergeCell ref="B8:J8"/>
    <mergeCell ref="B10:H10"/>
    <mergeCell ref="C17:F17"/>
    <mergeCell ref="B5:J5"/>
    <mergeCell ref="B6:H6"/>
    <mergeCell ref="B7:H7"/>
    <mergeCell ref="I6:J6"/>
    <mergeCell ref="I7:J7"/>
    <mergeCell ref="B11:H11"/>
    <mergeCell ref="B12:J12"/>
    <mergeCell ref="B13:J13"/>
    <mergeCell ref="G16:J16"/>
    <mergeCell ref="G17:J17"/>
    <mergeCell ref="B23:J23"/>
    <mergeCell ref="B24:H24"/>
    <mergeCell ref="B32:D32"/>
    <mergeCell ref="E18:H18"/>
    <mergeCell ref="I20:J20"/>
    <mergeCell ref="I21:J21"/>
    <mergeCell ref="B22:J22"/>
    <mergeCell ref="I24:J24"/>
    <mergeCell ref="B35:J35"/>
    <mergeCell ref="B25:H25"/>
    <mergeCell ref="B36:J36"/>
    <mergeCell ref="I25:J25"/>
    <mergeCell ref="C29:F29"/>
    <mergeCell ref="G29:J29"/>
    <mergeCell ref="G30:J30"/>
    <mergeCell ref="I33:J33"/>
    <mergeCell ref="I31:J31"/>
    <mergeCell ref="E31:H31"/>
    <mergeCell ref="I19:J19"/>
    <mergeCell ref="I32:J32"/>
    <mergeCell ref="B33:F33"/>
    <mergeCell ref="B20:C20"/>
    <mergeCell ref="E19:H19"/>
    <mergeCell ref="C30:F30"/>
    <mergeCell ref="B28:J28"/>
    <mergeCell ref="B31:D31"/>
    <mergeCell ref="I48:J48"/>
    <mergeCell ref="B45:H45"/>
    <mergeCell ref="B46:H46"/>
    <mergeCell ref="B42:H42"/>
    <mergeCell ref="I38:J38"/>
    <mergeCell ref="I46:J46"/>
    <mergeCell ref="I41:J41"/>
    <mergeCell ref="I42:J42"/>
    <mergeCell ref="B38:H38"/>
    <mergeCell ref="B34:F34"/>
    <mergeCell ref="I45:J45"/>
    <mergeCell ref="B52:D52"/>
    <mergeCell ref="B51:D51"/>
    <mergeCell ref="B47:H47"/>
    <mergeCell ref="I47:J47"/>
    <mergeCell ref="B48:H48"/>
    <mergeCell ref="E51:F51"/>
    <mergeCell ref="G51:J51"/>
    <mergeCell ref="B37:H37"/>
    <mergeCell ref="B60:D60"/>
    <mergeCell ref="B1:J1"/>
    <mergeCell ref="B15:J15"/>
    <mergeCell ref="B27:J27"/>
    <mergeCell ref="B43:J43"/>
    <mergeCell ref="B44:J44"/>
    <mergeCell ref="B40:J40"/>
    <mergeCell ref="B41:H41"/>
    <mergeCell ref="I37:J37"/>
    <mergeCell ref="I34:J34"/>
    <mergeCell ref="E53:G53"/>
    <mergeCell ref="B50:J50"/>
    <mergeCell ref="E52:F52"/>
    <mergeCell ref="G52:J52"/>
    <mergeCell ref="E54:G54"/>
    <mergeCell ref="B53:D54"/>
    <mergeCell ref="B66:H67"/>
    <mergeCell ref="B63:J63"/>
    <mergeCell ref="B55:J55"/>
    <mergeCell ref="H54:I54"/>
    <mergeCell ref="I67:J67"/>
    <mergeCell ref="I66:J66"/>
    <mergeCell ref="B64:J64"/>
    <mergeCell ref="B65:J65"/>
    <mergeCell ref="B61:D61"/>
    <mergeCell ref="B59:J59"/>
  </mergeCells>
  <conditionalFormatting sqref="B23 B36 B7:J7 B9 B11:J11 B13 C17:J17 B21:J21 C30:J30 B34:J34 B44 B46:J46 B25:J25 B38:J38 B19:J19 B32:J32 B42:J42 I48 D57 I67">
    <cfRule type="cellIs" priority="5" dxfId="49" operator="notEqual" stopIfTrue="1">
      <formula>""</formula>
    </cfRule>
  </conditionalFormatting>
  <conditionalFormatting sqref="B17 B30">
    <cfRule type="cellIs" priority="3" dxfId="45" operator="equal" stopIfTrue="1">
      <formula>"Choisir…"</formula>
    </cfRule>
  </conditionalFormatting>
  <conditionalFormatting sqref="B48:H48 B52:J52">
    <cfRule type="cellIs" priority="2" dxfId="45" operator="equal" stopIfTrue="1">
      <formula>"[Sélectionnez]"</formula>
    </cfRule>
  </conditionalFormatting>
  <dataValidations count="10">
    <dataValidation type="list" allowBlank="1" showInputMessage="1" showErrorMessage="1" sqref="G52:J52">
      <formula1>TypeSys2</formula1>
    </dataValidation>
    <dataValidation type="list" allowBlank="1" showInputMessage="1" showErrorMessage="1" sqref="E52:F52">
      <formula1>NRJChauf2</formula1>
    </dataValidation>
    <dataValidation type="list" allowBlank="1" showInputMessage="1" showErrorMessage="1" sqref="J54:J55">
      <formula1>Unite_Surface</formula1>
    </dataValidation>
    <dataValidation allowBlank="1" showInputMessage="1" showErrorMessage="1" promptTitle="Numéro d'entreprise du Québec" prompt="Laisser vide s'il n'y en a pas." sqref="I7:J7 I19:J19 I32:J32 I42:J42"/>
    <dataValidation type="textLength" operator="equal" allowBlank="1" showInputMessage="1" showErrorMessage="1" prompt="Le code postal doit comprendre 7 caractères, dont un espace au milieu. &#10;&#10;Exemple : A1B 2C3." sqref="I11:J11 I25:J25 I38:J38 I46:J46">
      <formula1>7</formula1>
    </dataValidation>
    <dataValidation errorStyle="inform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D57:J57">
      <formula1>TODAY()-30</formula1>
    </dataValidation>
    <dataValidation errorStyle="information" type="date" operator="greaterThanOrEqual" allowBlank="1" showInputMessage="1" showErrorMessage="1" prompt="La date doit être entrée sous le format &quot;aaaa-mm-jj&quot;.&#10;&#10;Exemple : 2023-06-24" sqref="I67:J67">
      <formula1>1</formula1>
    </dataValidation>
    <dataValidation type="list" allowBlank="1" showInputMessage="1" showErrorMessage="1" sqref="B52:D52">
      <formula1>Mesures2</formula1>
    </dataValidation>
    <dataValidation type="list" allowBlank="1" showInputMessage="1" showErrorMessage="1" sqref="B48:H48">
      <formula1>Type_Entreprise2</formula1>
    </dataValidation>
    <dataValidation type="list" allowBlank="1" showInputMessage="1" showErrorMessage="1" sqref="B17 B30">
      <formula1>Appel</formula1>
    </dataValidation>
  </dataValidations>
  <hyperlinks>
    <hyperlink ref="I47:J47" r:id="rId1" display="Code SCIAN"/>
    <hyperlink ref="B55:J55" location="'Consommation actuelle'!B7" display="Important : Veuillez remplir l'onglet Consommation actuelle."/>
  </hyperlinks>
  <printOptions horizontalCentered="1"/>
  <pageMargins left="0.3937007874015748" right="0.3937007874015748" top="0.3937007874015748" bottom="0.5905511811023623" header="0.3937007874015748" footer="0.3937007874015748"/>
  <pageSetup fitToHeight="0" fitToWidth="1" horizontalDpi="600" verticalDpi="600" orientation="portrait" paperSize="5" scale="96" r:id="rId4"/>
  <headerFooter scaleWithDoc="0">
    <oddFooter>&amp;L&amp;"Arial Narrow,Gras"&amp;8Ministère de l’Environnement, de la Lutte contre les changements climatiques, de la Faune et des Parcs&amp;R&amp;"Arial Narrow,Normal"&amp;8 2023-05-25</oddFooter>
  </headerFooter>
  <rowBreaks count="1" manualBreakCount="1">
    <brk id="58"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Feuil16">
    <pageSetUpPr fitToPage="1"/>
  </sheetPr>
  <dimension ref="B1:T70"/>
  <sheetViews>
    <sheetView showGridLines="0" showRowColHeaders="0" zoomScalePageLayoutView="0" workbookViewId="0" topLeftCell="A1">
      <selection activeCell="B7" sqref="B7:D7"/>
    </sheetView>
  </sheetViews>
  <sheetFormatPr defaultColWidth="11.421875" defaultRowHeight="12.75"/>
  <cols>
    <col min="1" max="1" width="2.28125" style="480" customWidth="1"/>
    <col min="2" max="4" width="11.421875" style="480" customWidth="1"/>
    <col min="5" max="5" width="18.57421875" style="480" customWidth="1"/>
    <col min="6" max="6" width="12.421875" style="480" customWidth="1"/>
    <col min="7" max="16384" width="11.421875" style="480" customWidth="1"/>
  </cols>
  <sheetData>
    <row r="1" spans="2:10" s="487" customFormat="1" ht="60" customHeight="1">
      <c r="B1" s="609"/>
      <c r="C1" s="609"/>
      <c r="D1" s="609"/>
      <c r="E1" s="609"/>
      <c r="F1" s="609"/>
      <c r="G1" s="609"/>
      <c r="H1" s="609"/>
      <c r="I1" s="609"/>
      <c r="J1" s="609"/>
    </row>
    <row r="2" ht="15"/>
    <row r="3" ht="15">
      <c r="L3" s="603" t="e">
        <f>INDEX(Data!Q120:Q121,MATCH(Demande!E52,Data!O120:O121,0))</f>
        <v>#N/A</v>
      </c>
    </row>
    <row r="4" spans="2:12" s="487" customFormat="1" ht="16.5" customHeight="1">
      <c r="B4" s="634" t="s">
        <v>1037</v>
      </c>
      <c r="C4" s="635"/>
      <c r="D4" s="635"/>
      <c r="E4" s="635"/>
      <c r="F4" s="635"/>
      <c r="G4" s="635"/>
      <c r="H4" s="635"/>
      <c r="I4" s="635"/>
      <c r="J4" s="636"/>
      <c r="K4" s="512"/>
      <c r="L4" s="604"/>
    </row>
    <row r="5" spans="2:12" s="487" customFormat="1" ht="18" customHeight="1" thickBot="1">
      <c r="B5" s="713">
        <f>IF(Demande!B42="","",Demande!B42)</f>
      </c>
      <c r="C5" s="714"/>
      <c r="D5" s="714"/>
      <c r="E5" s="714"/>
      <c r="F5" s="714"/>
      <c r="G5" s="714"/>
      <c r="H5" s="714"/>
      <c r="I5" s="714"/>
      <c r="J5" s="715"/>
      <c r="L5" s="602"/>
    </row>
    <row r="6" spans="2:12" s="487" customFormat="1" ht="15.75" customHeight="1" thickTop="1">
      <c r="B6" s="718" t="s">
        <v>1099</v>
      </c>
      <c r="C6" s="719"/>
      <c r="D6" s="720"/>
      <c r="E6" s="726" t="s">
        <v>1098</v>
      </c>
      <c r="F6" s="727"/>
      <c r="G6" s="730" t="s">
        <v>1097</v>
      </c>
      <c r="H6" s="731"/>
      <c r="I6" s="730" t="s">
        <v>1096</v>
      </c>
      <c r="J6" s="731"/>
      <c r="L6" s="505"/>
    </row>
    <row r="7" spans="2:10" s="487" customFormat="1" ht="15.75" customHeight="1">
      <c r="B7" s="721"/>
      <c r="C7" s="722"/>
      <c r="D7" s="723"/>
      <c r="E7" s="728"/>
      <c r="F7" s="729"/>
      <c r="G7" s="716">
        <f>I7-365*2+1</f>
        <v>44644</v>
      </c>
      <c r="H7" s="717"/>
      <c r="I7" s="716">
        <f ca="1">IF(B7="",TODAY(),B7)</f>
        <v>45373</v>
      </c>
      <c r="J7" s="717"/>
    </row>
    <row r="8" spans="2:10" s="487" customFormat="1" ht="15.75" customHeight="1">
      <c r="B8" s="708" t="s">
        <v>1095</v>
      </c>
      <c r="C8" s="708"/>
      <c r="D8" s="708"/>
      <c r="E8" s="708" t="s">
        <v>1110</v>
      </c>
      <c r="F8" s="708"/>
      <c r="G8" s="708" t="s">
        <v>1109</v>
      </c>
      <c r="H8" s="708"/>
      <c r="I8" s="708" t="s">
        <v>1116</v>
      </c>
      <c r="J8" s="708"/>
    </row>
    <row r="9" spans="2:12" s="487" customFormat="1" ht="15.75" customHeight="1">
      <c r="B9" s="732" t="str">
        <f>IF(Demande!E52="[Sélectionnez]","À sélectionner à l'onglet Demande",Demande!E52)</f>
        <v>À sélectionner à l'onglet Demande</v>
      </c>
      <c r="C9" s="732"/>
      <c r="D9" s="732"/>
      <c r="E9" s="733">
        <f>SUM(T14:T63)/2</f>
        <v>0</v>
      </c>
      <c r="F9" s="733"/>
      <c r="G9" s="706">
        <f>_xlfn.IFERROR(IF(MATCH('1. Demande'!F106,Mesures,0)=9,"",CHOOSE(MATCH('1. Demande'!P106,NRJEvap,0),1,0.55,0.6)),"")</f>
      </c>
      <c r="H9" s="707"/>
      <c r="I9" s="724">
        <f>_xlfn.IFERROR(E9*G9,"")</f>
      </c>
      <c r="J9" s="725"/>
      <c r="L9" s="505"/>
    </row>
    <row r="10" ht="9.75" customHeight="1"/>
    <row r="11" spans="2:10" s="487" customFormat="1" ht="23.25" customHeight="1">
      <c r="B11" s="711" t="s">
        <v>1094</v>
      </c>
      <c r="C11" s="711"/>
      <c r="D11" s="711"/>
      <c r="E11" s="711"/>
      <c r="F11" s="711"/>
      <c r="G11" s="711"/>
      <c r="H11" s="711"/>
      <c r="I11" s="711"/>
      <c r="J11" s="711"/>
    </row>
    <row r="12" ht="9.75" customHeight="1"/>
    <row r="13" spans="2:10" ht="27.75" customHeight="1">
      <c r="B13" s="514" t="s">
        <v>1093</v>
      </c>
      <c r="C13" s="710" t="s">
        <v>1095</v>
      </c>
      <c r="D13" s="710"/>
      <c r="E13" s="515" t="s">
        <v>1092</v>
      </c>
      <c r="F13" s="515" t="s">
        <v>1126</v>
      </c>
      <c r="G13" s="712" t="s">
        <v>1127</v>
      </c>
      <c r="H13" s="635"/>
      <c r="I13" s="635"/>
      <c r="J13" s="636"/>
    </row>
    <row r="14" spans="2:20" ht="15.75" customHeight="1">
      <c r="B14" s="513">
        <v>1</v>
      </c>
      <c r="C14" s="709">
        <f>IF(Demande!E52="[Sélectionnez]","",Demande!E52)</f>
      </c>
      <c r="D14" s="709"/>
      <c r="E14" s="579"/>
      <c r="F14" s="585"/>
      <c r="G14" s="580"/>
      <c r="H14" s="581"/>
      <c r="I14" s="581"/>
      <c r="J14" s="582"/>
      <c r="K14" s="583"/>
      <c r="L14" s="583"/>
      <c r="S14" s="575">
        <f aca="true" t="shared" si="0" ref="S14:S45">IF(E14="","",IF(E14&lt;$G$7,0,IF(E14&gt;$I$7,0,1)))</f>
      </c>
      <c r="T14" s="575">
        <f aca="true" t="shared" si="1" ref="T14:T45">IF(E14="","",S14*F14)</f>
      </c>
    </row>
    <row r="15" spans="2:20" ht="15">
      <c r="B15" s="513">
        <v>2</v>
      </c>
      <c r="C15" s="704">
        <f>C14</f>
      </c>
      <c r="D15" s="705"/>
      <c r="E15" s="579"/>
      <c r="F15" s="585"/>
      <c r="G15" s="580"/>
      <c r="H15" s="581"/>
      <c r="I15" s="581"/>
      <c r="J15" s="582"/>
      <c r="L15" s="575">
        <f>COUNTIF(S14:S63,"=0")</f>
        <v>0</v>
      </c>
      <c r="S15" s="575">
        <f t="shared" si="0"/>
      </c>
      <c r="T15" s="575">
        <f t="shared" si="1"/>
      </c>
    </row>
    <row r="16" spans="2:20" ht="15">
      <c r="B16" s="513">
        <v>3</v>
      </c>
      <c r="C16" s="704">
        <f>C15</f>
      </c>
      <c r="D16" s="705"/>
      <c r="E16" s="579"/>
      <c r="F16" s="585"/>
      <c r="G16" s="580"/>
      <c r="H16" s="581"/>
      <c r="I16" s="581"/>
      <c r="J16" s="582"/>
      <c r="S16" s="575">
        <f t="shared" si="0"/>
      </c>
      <c r="T16" s="575">
        <f t="shared" si="1"/>
      </c>
    </row>
    <row r="17" spans="2:20" ht="15">
      <c r="B17" s="513">
        <v>4</v>
      </c>
      <c r="C17" s="704">
        <f aca="true" t="shared" si="2" ref="C17:C63">C16</f>
      </c>
      <c r="D17" s="705"/>
      <c r="E17" s="579"/>
      <c r="F17" s="585"/>
      <c r="G17" s="580"/>
      <c r="H17" s="581"/>
      <c r="I17" s="581"/>
      <c r="J17" s="582"/>
      <c r="S17" s="575">
        <f t="shared" si="0"/>
      </c>
      <c r="T17" s="575">
        <f t="shared" si="1"/>
      </c>
    </row>
    <row r="18" spans="2:20" ht="15">
      <c r="B18" s="513">
        <v>5</v>
      </c>
      <c r="C18" s="704">
        <f t="shared" si="2"/>
      </c>
      <c r="D18" s="705"/>
      <c r="E18" s="579"/>
      <c r="F18" s="585"/>
      <c r="G18" s="580"/>
      <c r="H18" s="581"/>
      <c r="I18" s="581"/>
      <c r="J18" s="582"/>
      <c r="S18" s="575">
        <f t="shared" si="0"/>
      </c>
      <c r="T18" s="575">
        <f t="shared" si="1"/>
      </c>
    </row>
    <row r="19" spans="2:20" ht="15">
      <c r="B19" s="513">
        <v>6</v>
      </c>
      <c r="C19" s="704">
        <f t="shared" si="2"/>
      </c>
      <c r="D19" s="705"/>
      <c r="E19" s="579"/>
      <c r="F19" s="585"/>
      <c r="G19" s="580"/>
      <c r="H19" s="581"/>
      <c r="I19" s="581"/>
      <c r="J19" s="582"/>
      <c r="S19" s="575">
        <f t="shared" si="0"/>
      </c>
      <c r="T19" s="575">
        <f t="shared" si="1"/>
      </c>
    </row>
    <row r="20" spans="2:20" ht="15">
      <c r="B20" s="513">
        <v>7</v>
      </c>
      <c r="C20" s="704">
        <f t="shared" si="2"/>
      </c>
      <c r="D20" s="705"/>
      <c r="E20" s="579"/>
      <c r="F20" s="585"/>
      <c r="G20" s="580"/>
      <c r="H20" s="581"/>
      <c r="I20" s="581"/>
      <c r="J20" s="582"/>
      <c r="M20" s="574"/>
      <c r="S20" s="575">
        <f t="shared" si="0"/>
      </c>
      <c r="T20" s="575">
        <f t="shared" si="1"/>
      </c>
    </row>
    <row r="21" spans="2:20" ht="15">
      <c r="B21" s="513">
        <v>8</v>
      </c>
      <c r="C21" s="704">
        <f t="shared" si="2"/>
      </c>
      <c r="D21" s="705"/>
      <c r="E21" s="579"/>
      <c r="F21" s="585"/>
      <c r="G21" s="580"/>
      <c r="H21" s="581"/>
      <c r="I21" s="581"/>
      <c r="J21" s="582"/>
      <c r="M21" s="574"/>
      <c r="S21" s="575">
        <f t="shared" si="0"/>
      </c>
      <c r="T21" s="575">
        <f t="shared" si="1"/>
      </c>
    </row>
    <row r="22" spans="2:20" ht="15">
      <c r="B22" s="513">
        <v>9</v>
      </c>
      <c r="C22" s="704">
        <f t="shared" si="2"/>
      </c>
      <c r="D22" s="705"/>
      <c r="E22" s="579"/>
      <c r="F22" s="585"/>
      <c r="G22" s="580"/>
      <c r="H22" s="581"/>
      <c r="I22" s="581"/>
      <c r="J22" s="582"/>
      <c r="S22" s="575">
        <f t="shared" si="0"/>
      </c>
      <c r="T22" s="575">
        <f t="shared" si="1"/>
      </c>
    </row>
    <row r="23" spans="2:20" ht="15">
      <c r="B23" s="513">
        <v>10</v>
      </c>
      <c r="C23" s="704">
        <f t="shared" si="2"/>
      </c>
      <c r="D23" s="705"/>
      <c r="E23" s="579"/>
      <c r="F23" s="585"/>
      <c r="G23" s="580"/>
      <c r="H23" s="581"/>
      <c r="I23" s="581"/>
      <c r="J23" s="582"/>
      <c r="S23" s="575">
        <f t="shared" si="0"/>
      </c>
      <c r="T23" s="575">
        <f t="shared" si="1"/>
      </c>
    </row>
    <row r="24" spans="2:20" ht="15">
      <c r="B24" s="513">
        <v>11</v>
      </c>
      <c r="C24" s="704">
        <f t="shared" si="2"/>
      </c>
      <c r="D24" s="705"/>
      <c r="E24" s="579"/>
      <c r="F24" s="585"/>
      <c r="G24" s="580"/>
      <c r="H24" s="581"/>
      <c r="I24" s="581"/>
      <c r="J24" s="582"/>
      <c r="S24" s="575">
        <f t="shared" si="0"/>
      </c>
      <c r="T24" s="575">
        <f t="shared" si="1"/>
      </c>
    </row>
    <row r="25" spans="2:20" ht="15">
      <c r="B25" s="513">
        <v>12</v>
      </c>
      <c r="C25" s="704">
        <f t="shared" si="2"/>
      </c>
      <c r="D25" s="705"/>
      <c r="E25" s="579"/>
      <c r="F25" s="585"/>
      <c r="G25" s="580"/>
      <c r="H25" s="581"/>
      <c r="I25" s="581"/>
      <c r="J25" s="582"/>
      <c r="S25" s="575">
        <f t="shared" si="0"/>
      </c>
      <c r="T25" s="575">
        <f t="shared" si="1"/>
      </c>
    </row>
    <row r="26" spans="2:20" ht="15">
      <c r="B26" s="513">
        <v>13</v>
      </c>
      <c r="C26" s="704">
        <f t="shared" si="2"/>
      </c>
      <c r="D26" s="705"/>
      <c r="E26" s="579"/>
      <c r="F26" s="585"/>
      <c r="G26" s="580"/>
      <c r="H26" s="581"/>
      <c r="I26" s="581"/>
      <c r="J26" s="582"/>
      <c r="S26" s="575">
        <f t="shared" si="0"/>
      </c>
      <c r="T26" s="575">
        <f t="shared" si="1"/>
      </c>
    </row>
    <row r="27" spans="2:20" ht="15">
      <c r="B27" s="513">
        <v>14</v>
      </c>
      <c r="C27" s="704">
        <f t="shared" si="2"/>
      </c>
      <c r="D27" s="705"/>
      <c r="E27" s="579"/>
      <c r="F27" s="585"/>
      <c r="G27" s="580"/>
      <c r="H27" s="581"/>
      <c r="I27" s="581"/>
      <c r="J27" s="582"/>
      <c r="S27" s="575">
        <f t="shared" si="0"/>
      </c>
      <c r="T27" s="575">
        <f t="shared" si="1"/>
      </c>
    </row>
    <row r="28" spans="2:20" ht="15">
      <c r="B28" s="513">
        <v>15</v>
      </c>
      <c r="C28" s="704">
        <f t="shared" si="2"/>
      </c>
      <c r="D28" s="705"/>
      <c r="E28" s="579"/>
      <c r="F28" s="585"/>
      <c r="G28" s="580"/>
      <c r="H28" s="581"/>
      <c r="I28" s="581"/>
      <c r="J28" s="582"/>
      <c r="S28" s="575">
        <f t="shared" si="0"/>
      </c>
      <c r="T28" s="575">
        <f t="shared" si="1"/>
      </c>
    </row>
    <row r="29" spans="2:20" ht="15">
      <c r="B29" s="513">
        <v>16</v>
      </c>
      <c r="C29" s="704">
        <f t="shared" si="2"/>
      </c>
      <c r="D29" s="705"/>
      <c r="E29" s="579"/>
      <c r="F29" s="585"/>
      <c r="G29" s="580"/>
      <c r="H29" s="581"/>
      <c r="I29" s="581"/>
      <c r="J29" s="582"/>
      <c r="S29" s="575">
        <f t="shared" si="0"/>
      </c>
      <c r="T29" s="575">
        <f t="shared" si="1"/>
      </c>
    </row>
    <row r="30" spans="2:20" ht="15">
      <c r="B30" s="513">
        <v>17</v>
      </c>
      <c r="C30" s="704">
        <f t="shared" si="2"/>
      </c>
      <c r="D30" s="705"/>
      <c r="E30" s="579"/>
      <c r="F30" s="585"/>
      <c r="G30" s="580"/>
      <c r="H30" s="581"/>
      <c r="I30" s="581"/>
      <c r="J30" s="582"/>
      <c r="S30" s="575">
        <f t="shared" si="0"/>
      </c>
      <c r="T30" s="575">
        <f t="shared" si="1"/>
      </c>
    </row>
    <row r="31" spans="2:20" ht="15">
      <c r="B31" s="513">
        <v>18</v>
      </c>
      <c r="C31" s="704">
        <f t="shared" si="2"/>
      </c>
      <c r="D31" s="705"/>
      <c r="E31" s="579"/>
      <c r="F31" s="585"/>
      <c r="G31" s="580"/>
      <c r="H31" s="581"/>
      <c r="I31" s="581"/>
      <c r="J31" s="582"/>
      <c r="S31" s="575">
        <f t="shared" si="0"/>
      </c>
      <c r="T31" s="575">
        <f t="shared" si="1"/>
      </c>
    </row>
    <row r="32" spans="2:20" ht="15">
      <c r="B32" s="513">
        <v>19</v>
      </c>
      <c r="C32" s="704">
        <f t="shared" si="2"/>
      </c>
      <c r="D32" s="705"/>
      <c r="E32" s="579"/>
      <c r="F32" s="585"/>
      <c r="G32" s="580"/>
      <c r="H32" s="581"/>
      <c r="I32" s="581"/>
      <c r="J32" s="582"/>
      <c r="S32" s="575">
        <f t="shared" si="0"/>
      </c>
      <c r="T32" s="575">
        <f t="shared" si="1"/>
      </c>
    </row>
    <row r="33" spans="2:20" ht="15">
      <c r="B33" s="513">
        <v>20</v>
      </c>
      <c r="C33" s="704">
        <f t="shared" si="2"/>
      </c>
      <c r="D33" s="705"/>
      <c r="E33" s="579"/>
      <c r="F33" s="585"/>
      <c r="G33" s="580"/>
      <c r="H33" s="581"/>
      <c r="I33" s="581"/>
      <c r="J33" s="582"/>
      <c r="S33" s="575">
        <f t="shared" si="0"/>
      </c>
      <c r="T33" s="575">
        <f t="shared" si="1"/>
      </c>
    </row>
    <row r="34" spans="2:20" ht="15">
      <c r="B34" s="513">
        <v>21</v>
      </c>
      <c r="C34" s="704">
        <f t="shared" si="2"/>
      </c>
      <c r="D34" s="705"/>
      <c r="E34" s="579"/>
      <c r="F34" s="585"/>
      <c r="G34" s="580"/>
      <c r="H34" s="581"/>
      <c r="I34" s="581"/>
      <c r="J34" s="582"/>
      <c r="S34" s="575">
        <f t="shared" si="0"/>
      </c>
      <c r="T34" s="575">
        <f t="shared" si="1"/>
      </c>
    </row>
    <row r="35" spans="2:20" ht="15">
      <c r="B35" s="513">
        <v>22</v>
      </c>
      <c r="C35" s="704">
        <f t="shared" si="2"/>
      </c>
      <c r="D35" s="705"/>
      <c r="E35" s="579"/>
      <c r="F35" s="585"/>
      <c r="G35" s="580"/>
      <c r="H35" s="581"/>
      <c r="I35" s="581"/>
      <c r="J35" s="582"/>
      <c r="S35" s="575">
        <f t="shared" si="0"/>
      </c>
      <c r="T35" s="575">
        <f t="shared" si="1"/>
      </c>
    </row>
    <row r="36" spans="2:20" ht="15">
      <c r="B36" s="513">
        <v>23</v>
      </c>
      <c r="C36" s="704">
        <f t="shared" si="2"/>
      </c>
      <c r="D36" s="705"/>
      <c r="E36" s="579"/>
      <c r="F36" s="585"/>
      <c r="G36" s="580"/>
      <c r="H36" s="581"/>
      <c r="I36" s="581"/>
      <c r="J36" s="582"/>
      <c r="S36" s="575">
        <f t="shared" si="0"/>
      </c>
      <c r="T36" s="575">
        <f t="shared" si="1"/>
      </c>
    </row>
    <row r="37" spans="2:20" ht="15">
      <c r="B37" s="513">
        <v>24</v>
      </c>
      <c r="C37" s="704">
        <f t="shared" si="2"/>
      </c>
      <c r="D37" s="705"/>
      <c r="E37" s="579"/>
      <c r="F37" s="585"/>
      <c r="G37" s="580"/>
      <c r="H37" s="581"/>
      <c r="I37" s="581"/>
      <c r="J37" s="582"/>
      <c r="S37" s="575">
        <f t="shared" si="0"/>
      </c>
      <c r="T37" s="575">
        <f t="shared" si="1"/>
      </c>
    </row>
    <row r="38" spans="2:20" ht="15">
      <c r="B38" s="513">
        <v>25</v>
      </c>
      <c r="C38" s="704">
        <f t="shared" si="2"/>
      </c>
      <c r="D38" s="705"/>
      <c r="E38" s="579"/>
      <c r="F38" s="585"/>
      <c r="G38" s="580"/>
      <c r="H38" s="581"/>
      <c r="I38" s="581"/>
      <c r="J38" s="582"/>
      <c r="S38" s="575">
        <f t="shared" si="0"/>
      </c>
      <c r="T38" s="575">
        <f t="shared" si="1"/>
      </c>
    </row>
    <row r="39" spans="2:20" ht="15">
      <c r="B39" s="513">
        <v>26</v>
      </c>
      <c r="C39" s="704">
        <f t="shared" si="2"/>
      </c>
      <c r="D39" s="705"/>
      <c r="E39" s="579"/>
      <c r="F39" s="585"/>
      <c r="G39" s="580"/>
      <c r="H39" s="581"/>
      <c r="I39" s="581"/>
      <c r="J39" s="582"/>
      <c r="S39" s="575">
        <f t="shared" si="0"/>
      </c>
      <c r="T39" s="575">
        <f t="shared" si="1"/>
      </c>
    </row>
    <row r="40" spans="2:20" ht="15">
      <c r="B40" s="513">
        <v>27</v>
      </c>
      <c r="C40" s="704">
        <f t="shared" si="2"/>
      </c>
      <c r="D40" s="705"/>
      <c r="E40" s="579"/>
      <c r="F40" s="585"/>
      <c r="G40" s="580"/>
      <c r="H40" s="581"/>
      <c r="I40" s="581"/>
      <c r="J40" s="582"/>
      <c r="S40" s="575">
        <f t="shared" si="0"/>
      </c>
      <c r="T40" s="575">
        <f t="shared" si="1"/>
      </c>
    </row>
    <row r="41" spans="2:20" ht="15">
      <c r="B41" s="513">
        <v>28</v>
      </c>
      <c r="C41" s="704">
        <f t="shared" si="2"/>
      </c>
      <c r="D41" s="705"/>
      <c r="E41" s="579"/>
      <c r="F41" s="585"/>
      <c r="G41" s="580"/>
      <c r="H41" s="581"/>
      <c r="I41" s="581"/>
      <c r="J41" s="582"/>
      <c r="S41" s="575">
        <f t="shared" si="0"/>
      </c>
      <c r="T41" s="575">
        <f t="shared" si="1"/>
      </c>
    </row>
    <row r="42" spans="2:20" ht="15">
      <c r="B42" s="513">
        <v>29</v>
      </c>
      <c r="C42" s="704">
        <f t="shared" si="2"/>
      </c>
      <c r="D42" s="705"/>
      <c r="E42" s="579"/>
      <c r="F42" s="585"/>
      <c r="G42" s="580"/>
      <c r="H42" s="581"/>
      <c r="I42" s="581"/>
      <c r="J42" s="582"/>
      <c r="S42" s="575">
        <f t="shared" si="0"/>
      </c>
      <c r="T42" s="575">
        <f t="shared" si="1"/>
      </c>
    </row>
    <row r="43" spans="2:20" ht="15">
      <c r="B43" s="513">
        <v>30</v>
      </c>
      <c r="C43" s="704">
        <f t="shared" si="2"/>
      </c>
      <c r="D43" s="705"/>
      <c r="E43" s="579"/>
      <c r="F43" s="585"/>
      <c r="G43" s="580"/>
      <c r="H43" s="581"/>
      <c r="I43" s="581"/>
      <c r="J43" s="582"/>
      <c r="S43" s="575">
        <f t="shared" si="0"/>
      </c>
      <c r="T43" s="575">
        <f t="shared" si="1"/>
      </c>
    </row>
    <row r="44" spans="2:20" ht="15">
      <c r="B44" s="513">
        <v>31</v>
      </c>
      <c r="C44" s="704">
        <f t="shared" si="2"/>
      </c>
      <c r="D44" s="705"/>
      <c r="E44" s="579"/>
      <c r="F44" s="585"/>
      <c r="G44" s="580"/>
      <c r="H44" s="581"/>
      <c r="I44" s="581"/>
      <c r="J44" s="582"/>
      <c r="S44" s="575">
        <f t="shared" si="0"/>
      </c>
      <c r="T44" s="575">
        <f t="shared" si="1"/>
      </c>
    </row>
    <row r="45" spans="2:20" ht="15">
      <c r="B45" s="513">
        <v>32</v>
      </c>
      <c r="C45" s="704">
        <f t="shared" si="2"/>
      </c>
      <c r="D45" s="705"/>
      <c r="E45" s="579"/>
      <c r="F45" s="585"/>
      <c r="G45" s="580"/>
      <c r="H45" s="581"/>
      <c r="I45" s="581"/>
      <c r="J45" s="582"/>
      <c r="S45" s="575">
        <f t="shared" si="0"/>
      </c>
      <c r="T45" s="575">
        <f t="shared" si="1"/>
      </c>
    </row>
    <row r="46" spans="2:20" ht="15">
      <c r="B46" s="513">
        <v>33</v>
      </c>
      <c r="C46" s="704">
        <f t="shared" si="2"/>
      </c>
      <c r="D46" s="705"/>
      <c r="E46" s="579"/>
      <c r="F46" s="585"/>
      <c r="G46" s="580"/>
      <c r="H46" s="581"/>
      <c r="I46" s="581"/>
      <c r="J46" s="582"/>
      <c r="S46" s="575">
        <f aca="true" t="shared" si="3" ref="S46:S63">IF(E46="","",IF(E46&lt;$G$7,0,IF(E46&gt;$I$7,0,1)))</f>
      </c>
      <c r="T46" s="575">
        <f aca="true" t="shared" si="4" ref="T46:T63">IF(E46="","",S46*F46)</f>
      </c>
    </row>
    <row r="47" spans="2:20" ht="15">
      <c r="B47" s="513">
        <v>34</v>
      </c>
      <c r="C47" s="704">
        <f t="shared" si="2"/>
      </c>
      <c r="D47" s="705"/>
      <c r="E47" s="579"/>
      <c r="F47" s="585"/>
      <c r="G47" s="580"/>
      <c r="H47" s="581"/>
      <c r="I47" s="581"/>
      <c r="J47" s="582"/>
      <c r="S47" s="575">
        <f t="shared" si="3"/>
      </c>
      <c r="T47" s="575">
        <f t="shared" si="4"/>
      </c>
    </row>
    <row r="48" spans="2:20" ht="15">
      <c r="B48" s="513">
        <v>35</v>
      </c>
      <c r="C48" s="704">
        <f t="shared" si="2"/>
      </c>
      <c r="D48" s="705"/>
      <c r="E48" s="579"/>
      <c r="F48" s="585"/>
      <c r="G48" s="580"/>
      <c r="H48" s="581"/>
      <c r="I48" s="581"/>
      <c r="J48" s="582"/>
      <c r="S48" s="575">
        <f t="shared" si="3"/>
      </c>
      <c r="T48" s="575">
        <f t="shared" si="4"/>
      </c>
    </row>
    <row r="49" spans="2:20" ht="15">
      <c r="B49" s="513">
        <v>36</v>
      </c>
      <c r="C49" s="704">
        <f t="shared" si="2"/>
      </c>
      <c r="D49" s="705"/>
      <c r="E49" s="579"/>
      <c r="F49" s="585"/>
      <c r="G49" s="580"/>
      <c r="H49" s="581"/>
      <c r="I49" s="581"/>
      <c r="J49" s="582"/>
      <c r="S49" s="575">
        <f t="shared" si="3"/>
      </c>
      <c r="T49" s="575">
        <f t="shared" si="4"/>
      </c>
    </row>
    <row r="50" spans="2:20" ht="15">
      <c r="B50" s="513">
        <v>37</v>
      </c>
      <c r="C50" s="704">
        <f t="shared" si="2"/>
      </c>
      <c r="D50" s="705"/>
      <c r="E50" s="579"/>
      <c r="F50" s="585"/>
      <c r="G50" s="580"/>
      <c r="H50" s="581"/>
      <c r="I50" s="581"/>
      <c r="J50" s="582"/>
      <c r="S50" s="575">
        <f t="shared" si="3"/>
      </c>
      <c r="T50" s="575">
        <f t="shared" si="4"/>
      </c>
    </row>
    <row r="51" spans="2:20" ht="15">
      <c r="B51" s="513">
        <v>38</v>
      </c>
      <c r="C51" s="704">
        <f t="shared" si="2"/>
      </c>
      <c r="D51" s="705"/>
      <c r="E51" s="579"/>
      <c r="F51" s="585"/>
      <c r="G51" s="580"/>
      <c r="H51" s="581"/>
      <c r="I51" s="581"/>
      <c r="J51" s="582"/>
      <c r="S51" s="575">
        <f t="shared" si="3"/>
      </c>
      <c r="T51" s="575">
        <f t="shared" si="4"/>
      </c>
    </row>
    <row r="52" spans="2:20" ht="15">
      <c r="B52" s="513">
        <v>39</v>
      </c>
      <c r="C52" s="704">
        <f t="shared" si="2"/>
      </c>
      <c r="D52" s="705"/>
      <c r="E52" s="579"/>
      <c r="F52" s="585"/>
      <c r="G52" s="580"/>
      <c r="H52" s="581"/>
      <c r="I52" s="581"/>
      <c r="J52" s="582"/>
      <c r="S52" s="575">
        <f t="shared" si="3"/>
      </c>
      <c r="T52" s="575">
        <f t="shared" si="4"/>
      </c>
    </row>
    <row r="53" spans="2:20" ht="15">
      <c r="B53" s="513">
        <v>40</v>
      </c>
      <c r="C53" s="704">
        <f t="shared" si="2"/>
      </c>
      <c r="D53" s="705"/>
      <c r="E53" s="579"/>
      <c r="F53" s="585"/>
      <c r="G53" s="580"/>
      <c r="H53" s="581"/>
      <c r="I53" s="581"/>
      <c r="J53" s="582"/>
      <c r="S53" s="575">
        <f t="shared" si="3"/>
      </c>
      <c r="T53" s="575">
        <f t="shared" si="4"/>
      </c>
    </row>
    <row r="54" spans="2:20" ht="15">
      <c r="B54" s="513">
        <v>41</v>
      </c>
      <c r="C54" s="704">
        <f t="shared" si="2"/>
      </c>
      <c r="D54" s="705"/>
      <c r="E54" s="579"/>
      <c r="F54" s="585"/>
      <c r="G54" s="580"/>
      <c r="H54" s="581"/>
      <c r="I54" s="581"/>
      <c r="J54" s="582"/>
      <c r="S54" s="575">
        <f t="shared" si="3"/>
      </c>
      <c r="T54" s="575">
        <f t="shared" si="4"/>
      </c>
    </row>
    <row r="55" spans="2:20" ht="15">
      <c r="B55" s="513">
        <v>42</v>
      </c>
      <c r="C55" s="704">
        <f t="shared" si="2"/>
      </c>
      <c r="D55" s="705"/>
      <c r="E55" s="579"/>
      <c r="F55" s="585"/>
      <c r="G55" s="580"/>
      <c r="H55" s="581"/>
      <c r="I55" s="581"/>
      <c r="J55" s="582"/>
      <c r="S55" s="575">
        <f t="shared" si="3"/>
      </c>
      <c r="T55" s="575">
        <f t="shared" si="4"/>
      </c>
    </row>
    <row r="56" spans="2:20" ht="15">
      <c r="B56" s="513">
        <v>43</v>
      </c>
      <c r="C56" s="704">
        <f t="shared" si="2"/>
      </c>
      <c r="D56" s="705"/>
      <c r="E56" s="579"/>
      <c r="F56" s="585"/>
      <c r="G56" s="580"/>
      <c r="H56" s="581"/>
      <c r="I56" s="581"/>
      <c r="J56" s="582"/>
      <c r="S56" s="575">
        <f t="shared" si="3"/>
      </c>
      <c r="T56" s="575">
        <f t="shared" si="4"/>
      </c>
    </row>
    <row r="57" spans="2:20" ht="15">
      <c r="B57" s="513">
        <v>44</v>
      </c>
      <c r="C57" s="704">
        <f t="shared" si="2"/>
      </c>
      <c r="D57" s="705"/>
      <c r="E57" s="579"/>
      <c r="F57" s="585"/>
      <c r="G57" s="580"/>
      <c r="H57" s="581"/>
      <c r="I57" s="581"/>
      <c r="J57" s="582"/>
      <c r="S57" s="575">
        <f t="shared" si="3"/>
      </c>
      <c r="T57" s="575">
        <f t="shared" si="4"/>
      </c>
    </row>
    <row r="58" spans="2:20" ht="15">
      <c r="B58" s="513">
        <v>45</v>
      </c>
      <c r="C58" s="704">
        <f t="shared" si="2"/>
      </c>
      <c r="D58" s="705"/>
      <c r="E58" s="579"/>
      <c r="F58" s="585"/>
      <c r="G58" s="580"/>
      <c r="H58" s="581"/>
      <c r="I58" s="581"/>
      <c r="J58" s="582"/>
      <c r="S58" s="575">
        <f t="shared" si="3"/>
      </c>
      <c r="T58" s="575">
        <f t="shared" si="4"/>
      </c>
    </row>
    <row r="59" spans="2:20" ht="15">
      <c r="B59" s="513">
        <v>46</v>
      </c>
      <c r="C59" s="704">
        <f t="shared" si="2"/>
      </c>
      <c r="D59" s="705"/>
      <c r="E59" s="579"/>
      <c r="F59" s="585"/>
      <c r="G59" s="580"/>
      <c r="H59" s="581"/>
      <c r="I59" s="581"/>
      <c r="J59" s="582"/>
      <c r="S59" s="575">
        <f t="shared" si="3"/>
      </c>
      <c r="T59" s="575">
        <f t="shared" si="4"/>
      </c>
    </row>
    <row r="60" spans="2:20" ht="15">
      <c r="B60" s="513">
        <v>47</v>
      </c>
      <c r="C60" s="704">
        <f t="shared" si="2"/>
      </c>
      <c r="D60" s="705"/>
      <c r="E60" s="579"/>
      <c r="F60" s="585"/>
      <c r="G60" s="580"/>
      <c r="H60" s="581"/>
      <c r="I60" s="581"/>
      <c r="J60" s="582"/>
      <c r="S60" s="575">
        <f t="shared" si="3"/>
      </c>
      <c r="T60" s="575">
        <f t="shared" si="4"/>
      </c>
    </row>
    <row r="61" spans="2:20" ht="15">
      <c r="B61" s="513">
        <v>48</v>
      </c>
      <c r="C61" s="704">
        <f t="shared" si="2"/>
      </c>
      <c r="D61" s="705"/>
      <c r="E61" s="579"/>
      <c r="F61" s="585"/>
      <c r="G61" s="580"/>
      <c r="H61" s="581"/>
      <c r="I61" s="581"/>
      <c r="J61" s="582"/>
      <c r="S61" s="575">
        <f t="shared" si="3"/>
      </c>
      <c r="T61" s="575">
        <f t="shared" si="4"/>
      </c>
    </row>
    <row r="62" spans="2:20" ht="15">
      <c r="B62" s="513">
        <v>49</v>
      </c>
      <c r="C62" s="704">
        <f t="shared" si="2"/>
      </c>
      <c r="D62" s="705"/>
      <c r="E62" s="579"/>
      <c r="F62" s="585"/>
      <c r="G62" s="580"/>
      <c r="H62" s="581"/>
      <c r="I62" s="581"/>
      <c r="J62" s="582"/>
      <c r="S62" s="575">
        <f t="shared" si="3"/>
      </c>
      <c r="T62" s="575">
        <f t="shared" si="4"/>
      </c>
    </row>
    <row r="63" spans="2:20" ht="15">
      <c r="B63" s="513">
        <v>50</v>
      </c>
      <c r="C63" s="704">
        <f t="shared" si="2"/>
      </c>
      <c r="D63" s="705"/>
      <c r="E63" s="579"/>
      <c r="F63" s="585"/>
      <c r="G63" s="580"/>
      <c r="H63" s="581"/>
      <c r="I63" s="581"/>
      <c r="J63" s="582"/>
      <c r="S63" s="575">
        <f t="shared" si="3"/>
      </c>
      <c r="T63" s="575">
        <f t="shared" si="4"/>
      </c>
    </row>
    <row r="64" ht="15"/>
    <row r="65" ht="15"/>
    <row r="66" ht="15"/>
    <row r="69" spans="2:10" s="487" customFormat="1" ht="15.75" customHeight="1">
      <c r="B69" s="488" t="s">
        <v>1073</v>
      </c>
      <c r="J69" s="486">
        <f>Instructions!J47</f>
        <v>45364</v>
      </c>
    </row>
    <row r="70" spans="2:10" s="487" customFormat="1" ht="6" customHeight="1">
      <c r="B70" s="691"/>
      <c r="C70" s="691"/>
      <c r="D70" s="691"/>
      <c r="E70" s="691"/>
      <c r="F70" s="691"/>
      <c r="G70" s="691"/>
      <c r="H70" s="691"/>
      <c r="I70" s="691"/>
      <c r="J70" s="691"/>
    </row>
  </sheetData>
  <sheetProtection password="E71A" sheet="1" objects="1" scenarios="1"/>
  <mergeCells count="72">
    <mergeCell ref="B70:J70"/>
    <mergeCell ref="I9:J9"/>
    <mergeCell ref="E6:F7"/>
    <mergeCell ref="G6:H6"/>
    <mergeCell ref="G7:H7"/>
    <mergeCell ref="I6:J6"/>
    <mergeCell ref="B8:D8"/>
    <mergeCell ref="B9:D9"/>
    <mergeCell ref="E8:F8"/>
    <mergeCell ref="E9:F9"/>
    <mergeCell ref="B1:J1"/>
    <mergeCell ref="B4:J4"/>
    <mergeCell ref="B5:J5"/>
    <mergeCell ref="I7:J7"/>
    <mergeCell ref="B6:D6"/>
    <mergeCell ref="B7:D7"/>
    <mergeCell ref="G9:H9"/>
    <mergeCell ref="I8:J8"/>
    <mergeCell ref="C14:D14"/>
    <mergeCell ref="C13:D13"/>
    <mergeCell ref="B11:J11"/>
    <mergeCell ref="G8:H8"/>
    <mergeCell ref="G13:J13"/>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63:D63"/>
    <mergeCell ref="C57:D57"/>
    <mergeCell ref="C58:D58"/>
    <mergeCell ref="C59:D59"/>
    <mergeCell ref="C60:D60"/>
    <mergeCell ref="C61:D61"/>
    <mergeCell ref="C62:D62"/>
  </mergeCells>
  <conditionalFormatting sqref="B9:D9">
    <cfRule type="cellIs" priority="2" dxfId="45" operator="equal" stopIfTrue="1">
      <formula>"À sélectionner à l'onglet Demande"</formula>
    </cfRule>
  </conditionalFormatting>
  <conditionalFormatting sqref="B7:D7">
    <cfRule type="cellIs" priority="1" dxfId="45" operator="equal" stopIfTrue="1">
      <formula>""</formula>
    </cfRule>
  </conditionalFormatting>
  <dataValidations count="2">
    <dataValidation errorStyle="information" type="date" allowBlank="1" showInputMessage="1" showErrorMessage="1" promptTitle="Période admissible" prompt="Les factures admissibles sont celles datées d'au plus 2 ans avant le dépôt de la demande." error="La date entrée est hors de la période de consommation admissible. La quantité de combustible à cette ligne ne sera donc pas comptabilisée." sqref="E14:E63">
      <formula1>$G$7</formula1>
      <formula2>$I$7</formula2>
    </dataValidation>
    <dataValidation errorStyle="information" type="date" operator="greaterThanOrEqual" allowBlank="1" showInputMessage="1" showErrorMessage="1" promptTitle="Date de dépôt de la demande" error="Si la demande n'a pas encore été déposée, la date ne peut pas être antérieure à la date d'aujourd'hui. " sqref="B7:D7">
      <formula1>TODAY()</formula1>
    </dataValidation>
  </dataValidations>
  <printOptions horizontalCentered="1"/>
  <pageMargins left="0.3937007874015748" right="0.3937007874015748" top="0.3937007874015748" bottom="0.5905511811023623" header="0.3937007874015748" footer="0.3937007874015748"/>
  <pageSetup fitToHeight="0" fitToWidth="1" horizontalDpi="600" verticalDpi="600" orientation="portrait" paperSize="5" scale="44" r:id="rId2"/>
  <headerFooter scaleWithDoc="0">
    <oddFooter>&amp;L&amp;"Arial Narrow,Gras"&amp;8Ministère de l’Environnement, de la Lutte contre les changements climatiques, de la Faune et des Parcs&amp;R&amp;"Arial Narrow,Normal"&amp;8 2023-05-25</oddFooter>
  </headerFooter>
  <drawing r:id="rId1"/>
</worksheet>
</file>

<file path=xl/worksheets/sheet4.xml><?xml version="1.0" encoding="utf-8"?>
<worksheet xmlns="http://schemas.openxmlformats.org/spreadsheetml/2006/main" xmlns:r="http://schemas.openxmlformats.org/officeDocument/2006/relationships">
  <sheetPr codeName="Feuil2"/>
  <dimension ref="A1:FZ268"/>
  <sheetViews>
    <sheetView zoomScalePageLayoutView="0" workbookViewId="0" topLeftCell="A237">
      <selection activeCell="F261" sqref="F261"/>
    </sheetView>
  </sheetViews>
  <sheetFormatPr defaultColWidth="11.421875" defaultRowHeight="12.75"/>
  <cols>
    <col min="2" max="2" width="30.28125" style="0" customWidth="1"/>
    <col min="3" max="3" width="14.00390625" style="0" customWidth="1"/>
    <col min="8" max="8" width="13.140625" style="0" customWidth="1"/>
    <col min="11" max="11" width="11.42187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35" max="35" width="12.7109375" style="0" bestFit="1" customWidth="1"/>
    <col min="66" max="66" width="16.421875" style="0" customWidth="1"/>
  </cols>
  <sheetData>
    <row r="1" spans="1:182" ht="12.75">
      <c r="A1" t="s">
        <v>576</v>
      </c>
      <c r="B1" t="s">
        <v>575</v>
      </c>
      <c r="C1" t="s">
        <v>149</v>
      </c>
      <c r="D1" t="s">
        <v>150</v>
      </c>
      <c r="E1" t="s">
        <v>227</v>
      </c>
      <c r="F1" t="s">
        <v>228</v>
      </c>
      <c r="G1" t="s">
        <v>790</v>
      </c>
      <c r="H1" t="s">
        <v>230</v>
      </c>
      <c r="I1" t="s">
        <v>720</v>
      </c>
      <c r="J1" t="s">
        <v>721</v>
      </c>
      <c r="K1" t="s">
        <v>722</v>
      </c>
      <c r="L1" t="s">
        <v>723</v>
      </c>
      <c r="M1" t="s">
        <v>724</v>
      </c>
      <c r="N1" t="s">
        <v>314</v>
      </c>
      <c r="O1" t="s">
        <v>725</v>
      </c>
      <c r="P1" s="171" t="s">
        <v>706</v>
      </c>
      <c r="Q1" s="172" t="s">
        <v>707</v>
      </c>
      <c r="R1" s="172" t="s">
        <v>306</v>
      </c>
      <c r="S1" s="172" t="s">
        <v>708</v>
      </c>
      <c r="T1" s="172" t="s">
        <v>709</v>
      </c>
      <c r="U1" s="172" t="s">
        <v>307</v>
      </c>
      <c r="V1" s="172" t="s">
        <v>710</v>
      </c>
      <c r="W1" s="172" t="s">
        <v>711</v>
      </c>
      <c r="X1" s="172" t="s">
        <v>712</v>
      </c>
      <c r="Y1" s="172" t="s">
        <v>713</v>
      </c>
      <c r="Z1" s="172" t="s">
        <v>714</v>
      </c>
      <c r="AA1" s="172" t="s">
        <v>715</v>
      </c>
      <c r="AB1" s="172" t="s">
        <v>716</v>
      </c>
      <c r="AC1" s="172" t="s">
        <v>717</v>
      </c>
      <c r="AD1" s="172" t="s">
        <v>718</v>
      </c>
      <c r="AE1" s="172" t="s">
        <v>719</v>
      </c>
      <c r="AF1" s="172" t="s">
        <v>806</v>
      </c>
      <c r="AG1" t="s">
        <v>577</v>
      </c>
      <c r="AH1" t="s">
        <v>578</v>
      </c>
      <c r="AI1" t="s">
        <v>579</v>
      </c>
      <c r="AJ1" t="s">
        <v>580</v>
      </c>
      <c r="AK1" t="s">
        <v>581</v>
      </c>
      <c r="AL1" t="s">
        <v>582</v>
      </c>
      <c r="AM1" t="s">
        <v>583</v>
      </c>
      <c r="AN1" t="s">
        <v>663</v>
      </c>
      <c r="AO1" t="s">
        <v>807</v>
      </c>
      <c r="AP1" t="s">
        <v>584</v>
      </c>
      <c r="AQ1" t="s">
        <v>585</v>
      </c>
      <c r="AR1" t="s">
        <v>586</v>
      </c>
      <c r="AS1" t="s">
        <v>628</v>
      </c>
      <c r="AT1" t="s">
        <v>587</v>
      </c>
      <c r="AU1" t="s">
        <v>588</v>
      </c>
      <c r="AV1" t="s">
        <v>589</v>
      </c>
      <c r="AW1" t="s">
        <v>591</v>
      </c>
      <c r="AX1" t="s">
        <v>592</v>
      </c>
      <c r="AY1" t="s">
        <v>593</v>
      </c>
      <c r="AZ1" t="s">
        <v>590</v>
      </c>
      <c r="BA1" t="s">
        <v>594</v>
      </c>
      <c r="BB1" t="s">
        <v>595</v>
      </c>
      <c r="BC1" t="s">
        <v>596</v>
      </c>
      <c r="BD1" t="s">
        <v>597</v>
      </c>
      <c r="BE1" t="s">
        <v>727</v>
      </c>
      <c r="BF1" t="s">
        <v>808</v>
      </c>
      <c r="BG1" t="s">
        <v>598</v>
      </c>
      <c r="BH1" t="s">
        <v>599</v>
      </c>
      <c r="BI1" t="s">
        <v>600</v>
      </c>
      <c r="BJ1" t="s">
        <v>629</v>
      </c>
      <c r="BK1" t="s">
        <v>601</v>
      </c>
      <c r="BL1" t="s">
        <v>602</v>
      </c>
      <c r="BM1" t="s">
        <v>603</v>
      </c>
      <c r="BN1" t="s">
        <v>604</v>
      </c>
      <c r="BO1" t="s">
        <v>605</v>
      </c>
      <c r="BP1" t="s">
        <v>606</v>
      </c>
      <c r="BQ1" t="s">
        <v>607</v>
      </c>
      <c r="BR1" t="s">
        <v>608</v>
      </c>
      <c r="BS1" t="s">
        <v>609</v>
      </c>
      <c r="BT1" t="s">
        <v>610</v>
      </c>
      <c r="BU1" t="s">
        <v>611</v>
      </c>
      <c r="BV1" t="s">
        <v>728</v>
      </c>
      <c r="BW1" t="s">
        <v>809</v>
      </c>
      <c r="BX1" t="s">
        <v>612</v>
      </c>
      <c r="BY1" t="s">
        <v>613</v>
      </c>
      <c r="BZ1" t="s">
        <v>614</v>
      </c>
      <c r="CA1" t="s">
        <v>630</v>
      </c>
      <c r="CB1" t="s">
        <v>615</v>
      </c>
      <c r="CC1" t="s">
        <v>616</v>
      </c>
      <c r="CD1" t="s">
        <v>617</v>
      </c>
      <c r="CE1" t="s">
        <v>621</v>
      </c>
      <c r="CF1" t="s">
        <v>622</v>
      </c>
      <c r="CG1" t="s">
        <v>623</v>
      </c>
      <c r="CH1" t="s">
        <v>624</v>
      </c>
      <c r="CI1" t="s">
        <v>625</v>
      </c>
      <c r="CJ1" t="s">
        <v>626</v>
      </c>
      <c r="CK1" t="s">
        <v>631</v>
      </c>
      <c r="CL1" t="s">
        <v>632</v>
      </c>
      <c r="CM1" t="s">
        <v>633</v>
      </c>
      <c r="CN1" t="s">
        <v>627</v>
      </c>
      <c r="CO1" t="s">
        <v>726</v>
      </c>
      <c r="CP1" t="s">
        <v>810</v>
      </c>
      <c r="CQ1" t="s">
        <v>634</v>
      </c>
      <c r="CR1" t="s">
        <v>635</v>
      </c>
      <c r="CS1" t="s">
        <v>636</v>
      </c>
      <c r="CT1" t="s">
        <v>637</v>
      </c>
      <c r="CU1" t="s">
        <v>638</v>
      </c>
      <c r="CV1" t="s">
        <v>639</v>
      </c>
      <c r="CW1" t="s">
        <v>640</v>
      </c>
      <c r="CX1" t="s">
        <v>641</v>
      </c>
      <c r="CY1" t="s">
        <v>642</v>
      </c>
      <c r="CZ1" t="s">
        <v>643</v>
      </c>
      <c r="DA1" t="s">
        <v>644</v>
      </c>
      <c r="DB1" t="s">
        <v>645</v>
      </c>
      <c r="DC1" t="s">
        <v>646</v>
      </c>
      <c r="DD1" t="s">
        <v>647</v>
      </c>
      <c r="DE1" t="s">
        <v>648</v>
      </c>
      <c r="DF1" t="s">
        <v>649</v>
      </c>
      <c r="DG1" t="s">
        <v>650</v>
      </c>
      <c r="DH1" t="s">
        <v>729</v>
      </c>
      <c r="DI1" t="s">
        <v>651</v>
      </c>
      <c r="DJ1" t="s">
        <v>652</v>
      </c>
      <c r="DK1" t="s">
        <v>653</v>
      </c>
      <c r="DL1" t="s">
        <v>654</v>
      </c>
      <c r="DM1" t="s">
        <v>655</v>
      </c>
      <c r="DN1" t="s">
        <v>656</v>
      </c>
      <c r="DO1" t="s">
        <v>657</v>
      </c>
      <c r="DP1" t="s">
        <v>702</v>
      </c>
      <c r="DQ1" t="s">
        <v>336</v>
      </c>
      <c r="DR1" t="s">
        <v>254</v>
      </c>
      <c r="DS1" t="s">
        <v>335</v>
      </c>
      <c r="DT1" t="s">
        <v>255</v>
      </c>
      <c r="DU1" t="s">
        <v>658</v>
      </c>
      <c r="DV1" t="s">
        <v>659</v>
      </c>
      <c r="DW1" t="s">
        <v>660</v>
      </c>
      <c r="DX1" t="s">
        <v>811</v>
      </c>
      <c r="DY1" t="s">
        <v>62</v>
      </c>
      <c r="DZ1" t="s">
        <v>63</v>
      </c>
      <c r="EA1" t="s">
        <v>64</v>
      </c>
      <c r="EB1" t="s">
        <v>241</v>
      </c>
      <c r="EC1" t="s">
        <v>65</v>
      </c>
      <c r="ED1" t="s">
        <v>139</v>
      </c>
      <c r="EE1" t="s">
        <v>140</v>
      </c>
      <c r="EF1" t="s">
        <v>141</v>
      </c>
      <c r="EG1" t="s">
        <v>142</v>
      </c>
      <c r="EH1" t="s">
        <v>143</v>
      </c>
      <c r="EI1" t="s">
        <v>144</v>
      </c>
      <c r="EJ1" t="s">
        <v>467</v>
      </c>
      <c r="EK1" t="s">
        <v>158</v>
      </c>
      <c r="EL1" t="s">
        <v>666</v>
      </c>
      <c r="EM1" t="s">
        <v>481</v>
      </c>
      <c r="EN1" t="s">
        <v>482</v>
      </c>
      <c r="EO1" t="s">
        <v>199</v>
      </c>
      <c r="EP1" t="s">
        <v>483</v>
      </c>
      <c r="EQ1" t="s">
        <v>484</v>
      </c>
      <c r="ER1" t="s">
        <v>485</v>
      </c>
      <c r="ES1" t="s">
        <v>297</v>
      </c>
      <c r="ET1" t="s">
        <v>667</v>
      </c>
      <c r="EU1" t="s">
        <v>668</v>
      </c>
      <c r="EV1" t="s">
        <v>486</v>
      </c>
      <c r="EW1" t="s">
        <v>669</v>
      </c>
      <c r="EX1" t="s">
        <v>670</v>
      </c>
      <c r="EY1" t="s">
        <v>487</v>
      </c>
      <c r="EZ1" t="s">
        <v>671</v>
      </c>
      <c r="FA1" t="s">
        <v>682</v>
      </c>
      <c r="FB1" t="s">
        <v>488</v>
      </c>
      <c r="FC1" t="s">
        <v>672</v>
      </c>
      <c r="FD1" t="s">
        <v>673</v>
      </c>
      <c r="FE1" t="s">
        <v>674</v>
      </c>
      <c r="FF1" t="s">
        <v>675</v>
      </c>
      <c r="FG1" t="s">
        <v>676</v>
      </c>
      <c r="FH1" t="s">
        <v>677</v>
      </c>
      <c r="FI1" t="s">
        <v>678</v>
      </c>
      <c r="FJ1" t="s">
        <v>123</v>
      </c>
      <c r="FK1" t="s">
        <v>489</v>
      </c>
      <c r="FL1" t="s">
        <v>287</v>
      </c>
      <c r="FM1" t="s">
        <v>679</v>
      </c>
      <c r="FN1" t="s">
        <v>680</v>
      </c>
      <c r="FO1" t="s">
        <v>697</v>
      </c>
      <c r="FP1" t="s">
        <v>681</v>
      </c>
      <c r="FQ1" t="s">
        <v>337</v>
      </c>
      <c r="FR1" t="s">
        <v>338</v>
      </c>
      <c r="FS1" t="s">
        <v>341</v>
      </c>
      <c r="FT1" t="s">
        <v>339</v>
      </c>
      <c r="FU1" t="s">
        <v>340</v>
      </c>
      <c r="FV1" t="s">
        <v>342</v>
      </c>
      <c r="FW1" t="s">
        <v>683</v>
      </c>
      <c r="FX1" t="s">
        <v>931</v>
      </c>
      <c r="FY1" t="s">
        <v>932</v>
      </c>
      <c r="FZ1" t="s">
        <v>963</v>
      </c>
    </row>
    <row r="2" spans="1:182" ht="12.75">
      <c r="A2" s="118" t="s">
        <v>917</v>
      </c>
      <c r="B2" s="118"/>
      <c r="C2" s="118"/>
      <c r="D2" s="269"/>
      <c r="E2" s="118"/>
      <c r="F2" s="118"/>
      <c r="G2" s="118"/>
      <c r="H2" s="118"/>
      <c r="I2" s="118"/>
      <c r="J2" s="118"/>
      <c r="K2" s="118"/>
      <c r="L2" s="118"/>
      <c r="M2" s="118"/>
      <c r="N2" s="118"/>
      <c r="O2" s="118"/>
      <c r="P2" s="217"/>
      <c r="Q2" s="218"/>
      <c r="R2" s="218"/>
      <c r="S2" s="218"/>
      <c r="T2" s="218"/>
      <c r="U2" s="218"/>
      <c r="V2" s="218"/>
      <c r="W2" s="218"/>
      <c r="X2" s="218"/>
      <c r="Y2" s="218"/>
      <c r="Z2" s="218"/>
      <c r="AA2" s="218"/>
      <c r="AB2" s="218"/>
      <c r="AC2" s="218"/>
      <c r="AD2" s="218"/>
      <c r="AE2" s="218"/>
      <c r="AF2" s="218">
        <v>10</v>
      </c>
      <c r="AG2" s="118">
        <f>IF('1. Demande'!H11="","",'1. Demande'!H11)</f>
      </c>
      <c r="AH2" s="118">
        <f>IF('1. Demande'!H13="","",'1. Demande'!H13)</f>
      </c>
      <c r="AI2" s="118">
        <f>IF('1. Demande'!H15="","",'1. Demande'!H15)</f>
      </c>
      <c r="AJ2" s="118">
        <f>IF('1. Demande'!Z15="","",'1. Demande'!Z15)</f>
      </c>
      <c r="AK2" s="118">
        <f>IF('1. Demande'!AL11="","",'1. Demande'!AL11)</f>
      </c>
      <c r="AL2" s="118">
        <f>IF('1. Demande'!AL13="","",'1. Demande'!AL13)</f>
      </c>
      <c r="AM2" s="118">
        <f>IF('1. Demande'!AL15="","",'1. Demande'!AL15)</f>
        <v>0</v>
      </c>
      <c r="AN2" s="118" t="b">
        <v>0</v>
      </c>
      <c r="AO2" s="118">
        <v>1</v>
      </c>
      <c r="AP2" s="118">
        <f ca="1">INDEX(OFFSET(Appel,,-1,,),MATCH('1. Demande'!H20,Appel,0))</f>
        <v>0</v>
      </c>
      <c r="AQ2" s="118">
        <f>IF('1. Demande'!M20="","",'1. Demande'!M20)</f>
      </c>
      <c r="AR2" s="118">
        <f>IF('1. Demande'!AC20="","",'1. Demande'!AC20)</f>
      </c>
      <c r="AS2" s="118">
        <f>IF('1. Demande'!AP20="","",'1. Demande'!AP20)</f>
      </c>
      <c r="AT2" s="118">
        <f>IF('1. Demande'!H22="","",'1. Demande'!H22)</f>
      </c>
      <c r="AU2" s="118">
        <f>IF('1. Demande'!AC22="","",'1. Demande'!AC22)</f>
      </c>
      <c r="AV2" s="118">
        <f>IF('1. Demande'!H24="","",'1. Demande'!H24)</f>
      </c>
      <c r="AW2" s="118">
        <f>IF('1. Demande'!H26="","",'1. Demande'!H26)</f>
      </c>
      <c r="AX2" s="118">
        <f>IF('1. Demande'!H28="","",'1. Demande'!H28)</f>
      </c>
      <c r="AY2" s="118">
        <f>IF('1. Demande'!Z28="","",'1. Demande'!Z28)</f>
      </c>
      <c r="AZ2" s="118">
        <f>IF('1. Demande'!AI24="","",'1. Demande'!AI24)</f>
      </c>
      <c r="BA2" s="118">
        <f>IF('1. Demande'!AI26="","",'1. Demande'!AI26)</f>
      </c>
      <c r="BB2" s="118">
        <f>IF('1. Demande'!AQ26="","",'1. Demande'!AQ26)</f>
      </c>
      <c r="BC2" s="118">
        <f>IF('1. Demande'!AI28="","",'1. Demande'!AI28)</f>
      </c>
      <c r="BD2" s="118" t="b">
        <v>0</v>
      </c>
      <c r="BE2" s="118" t="b">
        <v>0</v>
      </c>
      <c r="BF2" s="118">
        <v>2</v>
      </c>
      <c r="BG2" s="118">
        <f ca="1">INDEX(OFFSET(Appel,,-1,,),MATCH('1. Demande'!H35,Appel,0))</f>
        <v>0</v>
      </c>
      <c r="BH2" s="118">
        <f>IF('1. Demande'!M35="","",'1. Demande'!M35)</f>
      </c>
      <c r="BI2" s="118">
        <f>IF('1. Demande'!AC35="","",'1. Demande'!AC35)</f>
      </c>
      <c r="BJ2" s="118">
        <f>IF('1. Demande'!AP35="","",'1. Demande'!AP35)</f>
      </c>
      <c r="BK2" s="118">
        <f>IF('1. Demande'!H37="","",'1. Demande'!H37)</f>
      </c>
      <c r="BL2" s="118">
        <f>IF('1. Demande'!AC37="","",'1. Demande'!AC37)</f>
      </c>
      <c r="BM2" s="118">
        <f>IF('1. Demande'!H39="","",'1. Demande'!H39)</f>
      </c>
      <c r="BN2" s="118">
        <f>IF('1. Demande'!H41="","",'1. Demande'!H41)</f>
      </c>
      <c r="BO2" s="118">
        <f>IF('1. Demande'!H43="","",'1. Demande'!H43)</f>
      </c>
      <c r="BP2" s="118">
        <f>IF('1. Demande'!Z43="","",'1. Demande'!Z43)</f>
      </c>
      <c r="BQ2" s="118">
        <f>IF('1. Demande'!AI39="","",'1. Demande'!AI39)</f>
      </c>
      <c r="BR2" s="118">
        <f>IF('1. Demande'!AI41="","",'1. Demande'!AI41)</f>
      </c>
      <c r="BS2" s="118">
        <f>IF('1. Demande'!AQ41="","",'1. Demande'!AQ41)</f>
      </c>
      <c r="BT2" s="118">
        <f>IF('1. Demande'!AI43="","",'1. Demande'!AI43)</f>
      </c>
      <c r="BU2" s="118" t="b">
        <v>0</v>
      </c>
      <c r="BV2" s="118" t="b">
        <v>1</v>
      </c>
      <c r="BW2" s="118">
        <v>3</v>
      </c>
      <c r="BX2" s="118">
        <v>0</v>
      </c>
      <c r="BY2" s="118"/>
      <c r="BZ2" s="118"/>
      <c r="CA2" s="118"/>
      <c r="CB2" s="118"/>
      <c r="CC2" s="118"/>
      <c r="CD2" s="118"/>
      <c r="CE2" s="118"/>
      <c r="CF2" s="118"/>
      <c r="CG2" s="118"/>
      <c r="CH2" s="118"/>
      <c r="CI2" s="118"/>
      <c r="CJ2" s="118"/>
      <c r="CK2" s="118"/>
      <c r="CL2" s="118"/>
      <c r="CM2" s="118"/>
      <c r="CN2" s="118"/>
      <c r="CO2" s="118"/>
      <c r="CP2" s="118">
        <v>4</v>
      </c>
      <c r="CQ2" s="118">
        <v>0</v>
      </c>
      <c r="CR2" s="118"/>
      <c r="CS2" s="118"/>
      <c r="CT2" s="118"/>
      <c r="CU2" s="118"/>
      <c r="CV2" s="118"/>
      <c r="CW2" s="118"/>
      <c r="CX2" s="118"/>
      <c r="CY2" s="118"/>
      <c r="CZ2" s="118"/>
      <c r="DA2" s="118"/>
      <c r="DB2" s="118"/>
      <c r="DC2" s="118"/>
      <c r="DD2" s="118"/>
      <c r="DE2" s="118"/>
      <c r="DF2" s="118"/>
      <c r="DG2" s="118"/>
      <c r="DH2" s="118"/>
      <c r="DI2" s="118">
        <f>IF(F57=TRUE,IF('1. Demande'!H11="","",'1. Demande'!H11),IF('1. Demande'!H72="","",'1. Demande'!H72))</f>
      </c>
      <c r="DJ2" s="118">
        <f>IF(F57=TRUE,IF('1. Demande'!H13="","",'1. Demande'!H13),IF('1. Demande'!H74="","",'1. Demande'!H74))</f>
      </c>
      <c r="DK2" s="118">
        <f>IF(F57=TRUE,IF('1. Demande'!H15="","",'1. Demande'!H15),IF('1. Demande'!H76="","",'1. Demande'!H76))</f>
      </c>
      <c r="DL2" s="118">
        <f>IF(F57=TRUE,IF('1. Demande'!Z15="","",'1. Demande'!Z15),IF('1. Demande'!Z76="","",'1. Demande'!Z76))</f>
      </c>
      <c r="DM2" s="118">
        <f>IF(F57=TRUE,IF('1. Demande'!AL13="","",'1. Demande'!AL13),IF('1. Demande'!AI72="","",'1. Demande'!AI72))</f>
      </c>
      <c r="DN2" s="118">
        <f>IF(F57=TRUE,484,IF('1. Demande'!AI74="","",'1. Demande'!AI74))</f>
      </c>
      <c r="DO2" s="118">
        <f ca="1">IF(F57=TRUE,10,INDEX(OFFSET(Type_Entreprise,,-1,,),MATCH('1. Demande'!AI76,Type_Entreprise,0)))</f>
        <v>0</v>
      </c>
      <c r="DP2" s="118">
        <f ca="1">INDEX(OFFSET(Type_Entreprise,,1,,),MATCH('1. Demande'!AI76,Type_Entreprise,0))</f>
        <v>0</v>
      </c>
      <c r="DQ2" s="118" t="e">
        <f>IF('1. Demande'!F106="Choisir…","",CHOOSE(MATCH('1. Demande'!F106,Mesures,0)-1,"1151210","1158180","1151240","1151240",DQ3,DQ3,DQ3,"1158180"))</f>
        <v>#N/A</v>
      </c>
      <c r="DR2" s="118" t="str">
        <f>IF(A56=TRUE,"Innovation technologique",IF(OR(B56=TRUE,E56=TRUE,F56=TRUE),"Analyse","Implantation"))</f>
        <v>Implantation</v>
      </c>
      <c r="DS2" s="269" t="s">
        <v>944</v>
      </c>
      <c r="DT2" s="118" t="e">
        <f>CHOOSE(G57-1,"91","93","94","95","96","97","98","99")</f>
        <v>#N/A</v>
      </c>
      <c r="DU2" s="219" t="e">
        <f>'1. Demande'!Z78</f>
        <v>#N/A</v>
      </c>
      <c r="DV2" s="118" t="b">
        <v>0</v>
      </c>
      <c r="DW2" s="118" t="str">
        <f>"(- de 36TJ)"</f>
        <v>(- de 36TJ)</v>
      </c>
      <c r="DX2" s="118">
        <v>1</v>
      </c>
      <c r="DY2" s="118"/>
      <c r="DZ2" s="118" t="e">
        <f ca="1">IF('1. Demande'!V108="","",'1. Demande'!V108*INDEX(OFFSET(Unite_Surface,,1,,),MATCH('1. Demande'!AC108,Unite_Surface,0)))</f>
        <v>#N/A</v>
      </c>
      <c r="EA2" s="118" t="e">
        <f ca="1">INDEX(OFFSET(Unite_Surface,,-1,,),MATCH('1. Demande'!AC108,Unite_Surface,0))</f>
        <v>#N/A</v>
      </c>
      <c r="EB2" s="118">
        <f>IF('1. Demande'!AJ108="","",'1. Demande'!AJ108)</f>
        <v>0</v>
      </c>
      <c r="EC2" s="118">
        <f>IF('1. Demande'!AP108="","",'1. Demande'!AP108)</f>
        <v>0</v>
      </c>
      <c r="ED2" s="118">
        <f>IF('1. Demande'!AE82="","",'1. Demande'!AE82)</f>
        <v>44644</v>
      </c>
      <c r="EE2" s="118">
        <f>IF('1. Demande'!AN82="","",'1. Demande'!AN82)</f>
        <v>45373</v>
      </c>
      <c r="EF2" s="118" t="e">
        <f>IF('1. Demande'!H131="","",'1. Demande'!H131)</f>
        <v>#N/A</v>
      </c>
      <c r="EG2" s="220">
        <f>IF('1. Demande'!O133="","",'1. Demande'!O133)</f>
        <v>0</v>
      </c>
      <c r="EH2" s="220">
        <f>IF('1. Demande'!AN133="","",'1. Demande'!AN133)</f>
        <v>0</v>
      </c>
      <c r="EI2" s="220">
        <f>IF('1. Demande'!AB133="","",'1. Demande'!AB133)</f>
        <v>0</v>
      </c>
      <c r="EJ2" s="220" t="b">
        <f>IF(A56=TRUE,TRUE,FALSE)</f>
        <v>0</v>
      </c>
      <c r="EK2" s="221">
        <f>IF('1. Demande'!AN137=0,0,'1. Demande'!AN137)</f>
        <v>0</v>
      </c>
      <c r="EL2">
        <f>IF(EL3=TRUE,"Résidentiel","")</f>
      </c>
      <c r="EM2">
        <f>IF(EM3=TRUE,"Commercial","")</f>
      </c>
      <c r="EN2">
        <f>IF(EN3=TRUE,"Institutionnel","")</f>
      </c>
      <c r="EO2">
        <f>IF(EO3=TRUE,"Municipal","")</f>
      </c>
      <c r="EP2">
        <f>IF(EP3=TRUE,"Transport","")</f>
      </c>
      <c r="EQ2">
        <f>IF(EQ3=TRUE,"Industriel","")</f>
      </c>
      <c r="ER2">
        <f>IF(ER3=TRUE,"Agricole","")</f>
      </c>
      <c r="ES2">
        <f>IF(ES3=TRUE,ET2,"")</f>
      </c>
      <c r="ET2" s="118" t="e">
        <f>IF('1. Demande'!#REF!="","",'1. Demande'!#REF!)</f>
        <v>#REF!</v>
      </c>
      <c r="EU2" s="118" t="b">
        <v>0</v>
      </c>
      <c r="EV2" s="118">
        <f>IF(EV3=TRUE,"Bioénergie","")</f>
      </c>
      <c r="EW2" s="118">
        <f>IF(EW3=TRUE,"Éolienne","")</f>
      </c>
      <c r="EX2" s="118">
        <f>IF(EX3=TRUE,"Géothermie","")</f>
      </c>
      <c r="EY2" s="118">
        <f>IF(EY3=TRUE,"Hydrolienne","")</f>
      </c>
      <c r="EZ2" s="118">
        <f>IF(EZ3=TRUE,"Hydrogène","")</f>
      </c>
      <c r="FA2" s="118">
        <f>IF(FA3=TRUE,"Marémotrice","")</f>
      </c>
      <c r="FB2" s="118">
        <f>IF(FB3=TRUE,"Solaire","")</f>
      </c>
      <c r="FC2" s="118">
        <f>IF(FC3=TRUE,FD2,"")</f>
      </c>
      <c r="FD2" s="118" t="e">
        <f>IF('1. Demande'!#REF!="","",'1. Demande'!#REF!)</f>
        <v>#REF!</v>
      </c>
      <c r="FE2" s="118" t="b">
        <v>0</v>
      </c>
      <c r="FF2" s="118">
        <f>IF(FE3=TRUE,1,"")</f>
      </c>
      <c r="FG2" s="118">
        <f>IF(FF3=TRUE,3,"")</f>
      </c>
      <c r="FH2" s="118">
        <f>IF(FG3=TRUE,4,"")</f>
      </c>
      <c r="FI2" s="118">
        <f>IF(FH3=TRUE,2,"")</f>
      </c>
      <c r="FJ2" s="118">
        <f>IF(FI3=TRUE,5,"")</f>
      </c>
      <c r="FK2" s="118">
        <f>IF(FJ3=TRUE,7,"")</f>
      </c>
      <c r="FL2" s="118">
        <f>IF(FK3=TRUE,6,"")</f>
      </c>
      <c r="FM2" s="118">
        <f ca="1">IF(FL3=TRUE,IF('1. Demande'!#REF!="","",INDEX(OFFSET(Énergie,,-1,,),MATCH('1. Demande'!#REF!,Énergie,0))),"")</f>
      </c>
      <c r="FN2" s="223" t="e">
        <f ca="1">IF('1. Demande'!#REF!="","",INDEX(OFFSET(Énergie,,-1,,),MATCH('1. Demande'!#REF!,Énergie,0)))</f>
        <v>#REF!</v>
      </c>
      <c r="FO2" s="224"/>
      <c r="FP2" s="220">
        <f>IF('1. Demande'!AJ149="","",'1. Demande'!AJ149)</f>
        <v>0</v>
      </c>
      <c r="FQ2" s="243">
        <f>B70</f>
        <v>0</v>
      </c>
      <c r="FR2" s="243" t="e">
        <f>C70</f>
        <v>#N/A</v>
      </c>
      <c r="FS2" s="243" t="e">
        <f>FQ2+FR2</f>
        <v>#N/A</v>
      </c>
      <c r="FT2" s="243">
        <f>D70</f>
        <v>0</v>
      </c>
      <c r="FU2" s="243" t="e">
        <f>E70</f>
        <v>#N/A</v>
      </c>
      <c r="FV2" s="243" t="e">
        <f>FU2+FT2</f>
        <v>#N/A</v>
      </c>
      <c r="FW2" s="118">
        <v>1</v>
      </c>
      <c r="FZ2" t="b">
        <v>1</v>
      </c>
    </row>
    <row r="3" spans="121:169" ht="12.75">
      <c r="DQ3" s="118">
        <f ca="1">INDEX(OFFSET(Type_Entreprise,,2,,),MATCH('1. Demande'!AI76,Type_Entreprise,0))</f>
        <v>0</v>
      </c>
      <c r="EJ3" s="118" t="b">
        <v>0</v>
      </c>
      <c r="EL3" s="118" t="b">
        <v>0</v>
      </c>
      <c r="EM3" s="118" t="b">
        <v>0</v>
      </c>
      <c r="EN3" s="118" t="b">
        <v>0</v>
      </c>
      <c r="EO3" s="118" t="b">
        <v>0</v>
      </c>
      <c r="EP3" s="118" t="b">
        <v>0</v>
      </c>
      <c r="EQ3" s="118" t="b">
        <v>0</v>
      </c>
      <c r="ER3" s="118" t="b">
        <v>0</v>
      </c>
      <c r="ES3" s="222" t="b">
        <v>0</v>
      </c>
      <c r="ET3" s="118"/>
      <c r="EV3" s="118" t="b">
        <v>0</v>
      </c>
      <c r="EW3" s="118" t="b">
        <v>0</v>
      </c>
      <c r="EX3" s="118" t="b">
        <v>0</v>
      </c>
      <c r="EY3" s="118" t="b">
        <v>0</v>
      </c>
      <c r="EZ3" s="118" t="b">
        <v>0</v>
      </c>
      <c r="FA3" s="118" t="b">
        <v>0</v>
      </c>
      <c r="FB3" s="118" t="b">
        <v>0</v>
      </c>
      <c r="FC3" s="118" t="b">
        <v>0</v>
      </c>
      <c r="FE3" s="118" t="b">
        <v>0</v>
      </c>
      <c r="FF3" s="118" t="b">
        <v>0</v>
      </c>
      <c r="FG3" s="118" t="b">
        <v>0</v>
      </c>
      <c r="FH3" s="118" t="b">
        <v>0</v>
      </c>
      <c r="FI3" s="118" t="b">
        <v>0</v>
      </c>
      <c r="FJ3" s="118" t="b">
        <v>0</v>
      </c>
      <c r="FK3" s="118" t="b">
        <v>0</v>
      </c>
      <c r="FL3" s="118"/>
      <c r="FM3" s="118" t="b">
        <v>0</v>
      </c>
    </row>
    <row r="4" spans="1:167" ht="12.75">
      <c r="A4" t="s">
        <v>812</v>
      </c>
      <c r="B4">
        <v>0.75</v>
      </c>
      <c r="U4" s="68" t="s">
        <v>188</v>
      </c>
      <c r="V4" s="68" t="s">
        <v>189</v>
      </c>
      <c r="FE4">
        <v>1</v>
      </c>
      <c r="FF4">
        <v>3</v>
      </c>
      <c r="FG4">
        <v>4</v>
      </c>
      <c r="FH4">
        <v>2</v>
      </c>
      <c r="FI4">
        <v>5</v>
      </c>
      <c r="FJ4">
        <v>7</v>
      </c>
      <c r="FK4">
        <v>6</v>
      </c>
    </row>
    <row r="5" spans="2:28" ht="12.75" customHeight="1">
      <c r="B5" s="118" t="b">
        <v>0</v>
      </c>
      <c r="U5" s="72"/>
      <c r="V5" s="85" t="s">
        <v>184</v>
      </c>
      <c r="Z5" t="s">
        <v>1081</v>
      </c>
      <c r="AB5" t="s">
        <v>1081</v>
      </c>
    </row>
    <row r="6" spans="1:28" ht="12.75" customHeight="1">
      <c r="A6" s="68" t="s">
        <v>178</v>
      </c>
      <c r="B6" s="68" t="s">
        <v>176</v>
      </c>
      <c r="D6" t="s">
        <v>184</v>
      </c>
      <c r="E6">
        <v>0</v>
      </c>
      <c r="F6" t="s">
        <v>184</v>
      </c>
      <c r="H6">
        <v>0</v>
      </c>
      <c r="I6" t="s">
        <v>184</v>
      </c>
      <c r="J6" t="s">
        <v>694</v>
      </c>
      <c r="K6" t="s">
        <v>184</v>
      </c>
      <c r="L6">
        <v>0</v>
      </c>
      <c r="M6" t="s">
        <v>184</v>
      </c>
      <c r="P6" t="s">
        <v>74</v>
      </c>
      <c r="U6" s="70" t="s">
        <v>190</v>
      </c>
      <c r="V6" s="70" t="s">
        <v>191</v>
      </c>
      <c r="W6" t="s">
        <v>87</v>
      </c>
      <c r="X6" s="191" t="s">
        <v>88</v>
      </c>
      <c r="Z6" t="s">
        <v>191</v>
      </c>
      <c r="AB6" t="s">
        <v>191</v>
      </c>
    </row>
    <row r="7" spans="2:28" ht="12.75" customHeight="1">
      <c r="B7" s="73" t="s">
        <v>184</v>
      </c>
      <c r="D7" t="s">
        <v>218</v>
      </c>
      <c r="E7">
        <v>2</v>
      </c>
      <c r="F7" t="s">
        <v>149</v>
      </c>
      <c r="G7" t="s">
        <v>308</v>
      </c>
      <c r="H7">
        <v>1</v>
      </c>
      <c r="I7" t="s">
        <v>249</v>
      </c>
      <c r="J7" t="s">
        <v>684</v>
      </c>
      <c r="K7" t="s">
        <v>691</v>
      </c>
      <c r="L7">
        <v>1</v>
      </c>
      <c r="M7" t="s">
        <v>687</v>
      </c>
      <c r="P7" s="273" t="s">
        <v>964</v>
      </c>
      <c r="U7" s="191" t="s">
        <v>190</v>
      </c>
      <c r="V7" s="70" t="s">
        <v>28</v>
      </c>
      <c r="W7" t="s">
        <v>87</v>
      </c>
      <c r="X7" s="191" t="s">
        <v>75</v>
      </c>
      <c r="AB7" t="s">
        <v>703</v>
      </c>
    </row>
    <row r="8" spans="1:28" ht="12.75" customHeight="1">
      <c r="A8" s="69">
        <v>1</v>
      </c>
      <c r="B8" s="70" t="s">
        <v>179</v>
      </c>
      <c r="D8" t="s">
        <v>219</v>
      </c>
      <c r="E8">
        <v>5</v>
      </c>
      <c r="F8" t="s">
        <v>924</v>
      </c>
      <c r="G8" t="s">
        <v>308</v>
      </c>
      <c r="H8">
        <v>2</v>
      </c>
      <c r="I8" t="s">
        <v>904</v>
      </c>
      <c r="J8" t="s">
        <v>685</v>
      </c>
      <c r="K8" t="s">
        <v>692</v>
      </c>
      <c r="L8">
        <v>2</v>
      </c>
      <c r="M8" t="s">
        <v>688</v>
      </c>
      <c r="U8" s="70" t="s">
        <v>192</v>
      </c>
      <c r="V8" s="70" t="s">
        <v>703</v>
      </c>
      <c r="W8" t="s">
        <v>485</v>
      </c>
      <c r="X8" s="191" t="s">
        <v>89</v>
      </c>
      <c r="Z8" t="s">
        <v>703</v>
      </c>
      <c r="AB8" t="s">
        <v>698</v>
      </c>
    </row>
    <row r="9" spans="1:28" ht="12.75" customHeight="1">
      <c r="A9" s="69">
        <v>2</v>
      </c>
      <c r="B9" s="70" t="s">
        <v>180</v>
      </c>
      <c r="D9" t="s">
        <v>220</v>
      </c>
      <c r="E9">
        <v>3</v>
      </c>
      <c r="F9" t="s">
        <v>925</v>
      </c>
      <c r="G9" t="s">
        <v>309</v>
      </c>
      <c r="H9">
        <v>0</v>
      </c>
      <c r="I9" t="s">
        <v>257</v>
      </c>
      <c r="J9" t="s">
        <v>686</v>
      </c>
      <c r="K9" t="s">
        <v>693</v>
      </c>
      <c r="L9">
        <v>3</v>
      </c>
      <c r="M9" t="s">
        <v>27</v>
      </c>
      <c r="U9" s="70" t="s">
        <v>192</v>
      </c>
      <c r="V9" s="70" t="s">
        <v>698</v>
      </c>
      <c r="W9" t="s">
        <v>87</v>
      </c>
      <c r="X9" s="191" t="s">
        <v>88</v>
      </c>
      <c r="Z9" t="s">
        <v>698</v>
      </c>
      <c r="AB9" t="s">
        <v>29</v>
      </c>
    </row>
    <row r="10" spans="5:28" ht="12.75" customHeight="1">
      <c r="E10">
        <v>4</v>
      </c>
      <c r="F10" t="s">
        <v>227</v>
      </c>
      <c r="G10" t="s">
        <v>309</v>
      </c>
      <c r="L10">
        <v>4</v>
      </c>
      <c r="M10" t="s">
        <v>689</v>
      </c>
      <c r="U10" s="191" t="s">
        <v>192</v>
      </c>
      <c r="V10" s="70" t="s">
        <v>76</v>
      </c>
      <c r="W10" t="s">
        <v>87</v>
      </c>
      <c r="X10" s="191" t="s">
        <v>75</v>
      </c>
      <c r="AB10" t="s">
        <v>194</v>
      </c>
    </row>
    <row r="11" spans="5:28" ht="12.75" customHeight="1">
      <c r="E11">
        <v>7</v>
      </c>
      <c r="F11" t="s">
        <v>896</v>
      </c>
      <c r="G11" t="s">
        <v>309</v>
      </c>
      <c r="L11">
        <v>5</v>
      </c>
      <c r="M11" t="s">
        <v>690</v>
      </c>
      <c r="U11" s="70" t="s">
        <v>192</v>
      </c>
      <c r="V11" s="70" t="s">
        <v>29</v>
      </c>
      <c r="W11" t="s">
        <v>484</v>
      </c>
      <c r="X11" s="191" t="s">
        <v>89</v>
      </c>
      <c r="Z11" t="s">
        <v>29</v>
      </c>
      <c r="AB11" t="s">
        <v>196</v>
      </c>
    </row>
    <row r="12" spans="2:28" ht="12.75" customHeight="1">
      <c r="B12" t="b">
        <v>0</v>
      </c>
      <c r="U12" s="70" t="s">
        <v>192</v>
      </c>
      <c r="V12" s="70" t="s">
        <v>858</v>
      </c>
      <c r="W12" t="s">
        <v>484</v>
      </c>
      <c r="X12" s="191" t="s">
        <v>75</v>
      </c>
      <c r="AB12" t="s">
        <v>199</v>
      </c>
    </row>
    <row r="13" spans="21:28" ht="11.25" customHeight="1">
      <c r="U13" s="70" t="s">
        <v>193</v>
      </c>
      <c r="V13" s="70" t="s">
        <v>194</v>
      </c>
      <c r="W13" t="s">
        <v>87</v>
      </c>
      <c r="X13" s="191" t="s">
        <v>88</v>
      </c>
      <c r="Z13" t="s">
        <v>194</v>
      </c>
      <c r="AB13" t="s">
        <v>704</v>
      </c>
    </row>
    <row r="14" spans="21:28" ht="12.75" customHeight="1">
      <c r="U14" s="70" t="s">
        <v>193</v>
      </c>
      <c r="V14" s="70" t="s">
        <v>78</v>
      </c>
      <c r="W14" t="s">
        <v>87</v>
      </c>
      <c r="X14" s="191" t="s">
        <v>75</v>
      </c>
      <c r="AB14" t="s">
        <v>699</v>
      </c>
    </row>
    <row r="15" spans="21:28" ht="12.75" customHeight="1">
      <c r="U15" s="70" t="s">
        <v>195</v>
      </c>
      <c r="V15" s="70" t="s">
        <v>196</v>
      </c>
      <c r="W15" t="s">
        <v>87</v>
      </c>
      <c r="X15" s="191" t="s">
        <v>88</v>
      </c>
      <c r="Z15" t="s">
        <v>196</v>
      </c>
      <c r="AB15" t="s">
        <v>700</v>
      </c>
    </row>
    <row r="16" spans="7:28" ht="12.75" customHeight="1">
      <c r="G16" t="s">
        <v>184</v>
      </c>
      <c r="U16" s="70" t="s">
        <v>195</v>
      </c>
      <c r="V16" s="70" t="s">
        <v>79</v>
      </c>
      <c r="W16" t="s">
        <v>87</v>
      </c>
      <c r="X16" s="191" t="s">
        <v>75</v>
      </c>
      <c r="AB16" t="s">
        <v>701</v>
      </c>
    </row>
    <row r="17" spans="7:26" ht="12.75" customHeight="1">
      <c r="G17" t="s">
        <v>480</v>
      </c>
      <c r="U17" s="70" t="s">
        <v>198</v>
      </c>
      <c r="V17" s="70" t="s">
        <v>199</v>
      </c>
      <c r="W17" t="s">
        <v>87</v>
      </c>
      <c r="X17" s="191" t="s">
        <v>88</v>
      </c>
      <c r="Z17" t="s">
        <v>199</v>
      </c>
    </row>
    <row r="18" spans="7:24" ht="12.75" customHeight="1">
      <c r="G18" t="s">
        <v>929</v>
      </c>
      <c r="U18" s="70" t="s">
        <v>198</v>
      </c>
      <c r="V18" s="70" t="s">
        <v>80</v>
      </c>
      <c r="W18" t="s">
        <v>87</v>
      </c>
      <c r="X18" s="191" t="s">
        <v>75</v>
      </c>
    </row>
    <row r="19" spans="7:26" ht="12.75" customHeight="1">
      <c r="G19" t="s">
        <v>201</v>
      </c>
      <c r="U19" s="70" t="s">
        <v>200</v>
      </c>
      <c r="V19" s="70" t="s">
        <v>704</v>
      </c>
      <c r="W19" t="s">
        <v>485</v>
      </c>
      <c r="X19" s="191" t="s">
        <v>89</v>
      </c>
      <c r="Z19" t="s">
        <v>704</v>
      </c>
    </row>
    <row r="20" spans="7:26" ht="12.75" customHeight="1">
      <c r="G20" t="s">
        <v>202</v>
      </c>
      <c r="U20" s="70" t="s">
        <v>200</v>
      </c>
      <c r="V20" s="70" t="s">
        <v>699</v>
      </c>
      <c r="W20" t="s">
        <v>87</v>
      </c>
      <c r="X20" s="191" t="s">
        <v>88</v>
      </c>
      <c r="Z20" t="s">
        <v>699</v>
      </c>
    </row>
    <row r="21" spans="21:26" ht="12.75" customHeight="1">
      <c r="U21" s="70" t="s">
        <v>200</v>
      </c>
      <c r="V21" s="70" t="s">
        <v>700</v>
      </c>
      <c r="W21" t="s">
        <v>87</v>
      </c>
      <c r="X21" s="191" t="s">
        <v>88</v>
      </c>
      <c r="Z21" t="s">
        <v>700</v>
      </c>
    </row>
    <row r="22" spans="21:24" ht="12.75" customHeight="1">
      <c r="U22" s="191" t="s">
        <v>200</v>
      </c>
      <c r="V22" s="70" t="s">
        <v>77</v>
      </c>
      <c r="W22" t="s">
        <v>87</v>
      </c>
      <c r="X22" s="191" t="s">
        <v>75</v>
      </c>
    </row>
    <row r="23" spans="21:26" ht="12.75" customHeight="1">
      <c r="U23" s="70" t="s">
        <v>200</v>
      </c>
      <c r="V23" s="70" t="s">
        <v>701</v>
      </c>
      <c r="W23" t="s">
        <v>484</v>
      </c>
      <c r="X23" s="191" t="s">
        <v>89</v>
      </c>
      <c r="Z23" t="s">
        <v>701</v>
      </c>
    </row>
    <row r="24" ht="12.75" customHeight="1"/>
    <row r="26" spans="1:2" ht="12.75">
      <c r="A26" t="s">
        <v>915</v>
      </c>
      <c r="B26" t="b">
        <v>1</v>
      </c>
    </row>
    <row r="27" spans="1:2" ht="12.75">
      <c r="A27" t="s">
        <v>916</v>
      </c>
      <c r="B27" t="b">
        <v>0</v>
      </c>
    </row>
    <row r="29" ht="12.75">
      <c r="B29" t="s">
        <v>184</v>
      </c>
    </row>
    <row r="30" spans="1:30" ht="12.75">
      <c r="A30">
        <v>1</v>
      </c>
      <c r="B30" t="s">
        <v>1059</v>
      </c>
      <c r="C30" t="s">
        <v>1060</v>
      </c>
      <c r="F30" t="s">
        <v>184</v>
      </c>
      <c r="G30" t="s">
        <v>805</v>
      </c>
      <c r="H30" t="s">
        <v>83</v>
      </c>
      <c r="AD30">
        <f>IF(E57=TRUE,"GESB",IF(E58=TRUE,"GESA",IF(F56=TRUE,"DEVB","")))</f>
      </c>
    </row>
    <row r="31" spans="1:8" ht="12.75">
      <c r="A31">
        <v>2</v>
      </c>
      <c r="B31" t="s">
        <v>1061</v>
      </c>
      <c r="C31" t="s">
        <v>204</v>
      </c>
      <c r="E31" s="191" t="s">
        <v>468</v>
      </c>
      <c r="F31" t="s">
        <v>30</v>
      </c>
      <c r="G31">
        <v>50</v>
      </c>
      <c r="H31" t="s">
        <v>802</v>
      </c>
    </row>
    <row r="32" spans="1:8" ht="12.75">
      <c r="A32">
        <v>3</v>
      </c>
      <c r="B32" t="s">
        <v>1062</v>
      </c>
      <c r="C32" t="s">
        <v>1062</v>
      </c>
      <c r="E32" s="191" t="s">
        <v>469</v>
      </c>
      <c r="F32" t="s">
        <v>85</v>
      </c>
      <c r="G32">
        <v>50</v>
      </c>
      <c r="H32" t="s">
        <v>803</v>
      </c>
    </row>
    <row r="33" spans="1:8" ht="12.75">
      <c r="A33">
        <v>4</v>
      </c>
      <c r="B33" t="s">
        <v>1063</v>
      </c>
      <c r="C33" t="s">
        <v>1063</v>
      </c>
      <c r="E33" s="191" t="s">
        <v>470</v>
      </c>
      <c r="F33" t="s">
        <v>926</v>
      </c>
      <c r="G33">
        <v>50</v>
      </c>
      <c r="H33" t="s">
        <v>804</v>
      </c>
    </row>
    <row r="34" spans="1:8" ht="12.75">
      <c r="A34">
        <v>5</v>
      </c>
      <c r="B34" t="s">
        <v>1064</v>
      </c>
      <c r="C34" t="s">
        <v>205</v>
      </c>
      <c r="E34" s="191" t="s">
        <v>81</v>
      </c>
      <c r="F34" t="s">
        <v>31</v>
      </c>
      <c r="G34">
        <v>50</v>
      </c>
      <c r="H34" t="s">
        <v>313</v>
      </c>
    </row>
    <row r="35" spans="1:3" ht="12.75">
      <c r="A35">
        <v>6</v>
      </c>
      <c r="B35" t="s">
        <v>206</v>
      </c>
      <c r="C35" t="s">
        <v>206</v>
      </c>
    </row>
    <row r="36" spans="1:3" ht="12.75">
      <c r="A36">
        <v>7</v>
      </c>
      <c r="B36" t="s">
        <v>207</v>
      </c>
      <c r="C36" t="s">
        <v>921</v>
      </c>
    </row>
    <row r="37" spans="1:3" ht="12.75">
      <c r="A37">
        <v>8</v>
      </c>
      <c r="B37" t="s">
        <v>208</v>
      </c>
      <c r="C37" t="s">
        <v>922</v>
      </c>
    </row>
    <row r="38" spans="1:3" ht="12.75">
      <c r="A38">
        <v>9</v>
      </c>
      <c r="B38" t="s">
        <v>209</v>
      </c>
      <c r="C38" t="s">
        <v>923</v>
      </c>
    </row>
    <row r="39" spans="1:3" ht="12.75">
      <c r="A39">
        <v>10</v>
      </c>
      <c r="B39" t="s">
        <v>223</v>
      </c>
      <c r="C39" t="s">
        <v>1065</v>
      </c>
    </row>
    <row r="40" spans="1:3" ht="12.75">
      <c r="A40">
        <v>11</v>
      </c>
      <c r="B40" t="s">
        <v>1066</v>
      </c>
      <c r="C40" t="s">
        <v>1067</v>
      </c>
    </row>
    <row r="41" spans="1:3" ht="12.75">
      <c r="A41">
        <v>12</v>
      </c>
      <c r="B41" t="s">
        <v>1068</v>
      </c>
      <c r="C41" t="s">
        <v>1069</v>
      </c>
    </row>
    <row r="42" spans="1:3" ht="12.75">
      <c r="A42">
        <v>13</v>
      </c>
      <c r="B42" t="s">
        <v>224</v>
      </c>
      <c r="C42" t="s">
        <v>1070</v>
      </c>
    </row>
    <row r="43" spans="1:3" ht="12.75">
      <c r="A43">
        <v>14</v>
      </c>
      <c r="B43" t="s">
        <v>225</v>
      </c>
      <c r="C43" t="s">
        <v>1071</v>
      </c>
    </row>
    <row r="44" spans="1:2" ht="12.75">
      <c r="A44">
        <v>15</v>
      </c>
      <c r="B44" t="s">
        <v>210</v>
      </c>
    </row>
    <row r="45" spans="1:2" ht="12.75">
      <c r="A45">
        <v>16</v>
      </c>
      <c r="B45" t="s">
        <v>466</v>
      </c>
    </row>
    <row r="47" spans="1:8" ht="15">
      <c r="A47">
        <v>0</v>
      </c>
      <c r="B47" t="s">
        <v>184</v>
      </c>
      <c r="C47">
        <v>0</v>
      </c>
      <c r="D47">
        <v>0</v>
      </c>
      <c r="E47" t="s">
        <v>184</v>
      </c>
      <c r="F47">
        <v>0</v>
      </c>
      <c r="H47" s="298" t="e">
        <f>IF(OR(MATCH('1. Demande'!F106,Mesures,0)=3,MATCH('1. Demande'!F106,Mesures,0)=4,MATCH('1. Demande'!F106,Mesures,0)=5)=TRUE,"Unite_Masse",IF(MATCH('1. Demande'!F106,Mesures,0)=2,"Unite_Surface","Unite_Surface"))</f>
        <v>#N/A</v>
      </c>
    </row>
    <row r="48" spans="1:6" ht="12.75">
      <c r="A48">
        <v>1</v>
      </c>
      <c r="B48" t="s">
        <v>292</v>
      </c>
      <c r="C48">
        <v>1</v>
      </c>
      <c r="D48">
        <v>1</v>
      </c>
      <c r="E48" t="s">
        <v>905</v>
      </c>
      <c r="F48">
        <v>1</v>
      </c>
    </row>
    <row r="49" spans="1:6" ht="12.75">
      <c r="A49">
        <v>2</v>
      </c>
      <c r="B49" t="s">
        <v>662</v>
      </c>
      <c r="C49">
        <f>1/2.204624</f>
        <v>0.45359208645102295</v>
      </c>
      <c r="D49">
        <v>2</v>
      </c>
      <c r="E49" t="s">
        <v>906</v>
      </c>
      <c r="F49">
        <v>0.09290304</v>
      </c>
    </row>
    <row r="52" spans="2:7" ht="12.75">
      <c r="B52" s="118" t="b">
        <v>0</v>
      </c>
      <c r="D52" s="118" t="b">
        <v>0</v>
      </c>
      <c r="E52" s="118" t="b">
        <v>0</v>
      </c>
      <c r="F52" s="118" t="b">
        <v>0</v>
      </c>
      <c r="G52" s="118" t="b">
        <v>0</v>
      </c>
    </row>
    <row r="53" spans="2:7" ht="12.75">
      <c r="B53" s="118" t="b">
        <v>0</v>
      </c>
      <c r="D53" s="118" t="b">
        <v>0</v>
      </c>
      <c r="E53" s="118" t="b">
        <v>0</v>
      </c>
      <c r="F53" s="118" t="b">
        <v>0</v>
      </c>
      <c r="G53" s="118" t="b">
        <v>0</v>
      </c>
    </row>
    <row r="54" spans="2:7" ht="12.75">
      <c r="B54" s="118" t="b">
        <v>0</v>
      </c>
      <c r="D54" s="118" t="b">
        <v>0</v>
      </c>
      <c r="F54" s="118" t="b">
        <v>0</v>
      </c>
      <c r="G54" s="118" t="b">
        <v>0</v>
      </c>
    </row>
    <row r="55" spans="1:24" ht="12.75">
      <c r="A55" t="s">
        <v>226</v>
      </c>
      <c r="B55" t="s">
        <v>149</v>
      </c>
      <c r="C55" t="s">
        <v>448</v>
      </c>
      <c r="D55" t="s">
        <v>227</v>
      </c>
      <c r="E55" t="s">
        <v>228</v>
      </c>
      <c r="F55" t="s">
        <v>229</v>
      </c>
      <c r="G55" t="s">
        <v>230</v>
      </c>
      <c r="I55" s="191" t="s">
        <v>730</v>
      </c>
      <c r="J55" t="s">
        <v>226</v>
      </c>
      <c r="K55" s="191" t="s">
        <v>737</v>
      </c>
      <c r="L55" t="s">
        <v>149</v>
      </c>
      <c r="M55" s="191" t="s">
        <v>740</v>
      </c>
      <c r="N55" t="s">
        <v>448</v>
      </c>
      <c r="O55" s="191" t="s">
        <v>742</v>
      </c>
      <c r="P55" t="s">
        <v>227</v>
      </c>
      <c r="Q55" s="191" t="s">
        <v>746</v>
      </c>
      <c r="R55" t="s">
        <v>228</v>
      </c>
      <c r="S55" s="191" t="s">
        <v>749</v>
      </c>
      <c r="T55" t="s">
        <v>229</v>
      </c>
      <c r="U55" s="191" t="s">
        <v>752</v>
      </c>
      <c r="V55" t="s">
        <v>898</v>
      </c>
      <c r="W55" t="s">
        <v>791</v>
      </c>
      <c r="X55" t="s">
        <v>792</v>
      </c>
    </row>
    <row r="56" spans="1:22" ht="12.75">
      <c r="A56" s="118" t="b">
        <v>0</v>
      </c>
      <c r="B56" s="118" t="b">
        <v>0</v>
      </c>
      <c r="C56" s="118" t="b">
        <v>1</v>
      </c>
      <c r="D56" s="118" t="b">
        <v>0</v>
      </c>
      <c r="E56" s="118" t="b">
        <v>0</v>
      </c>
      <c r="F56" s="118" t="b">
        <v>0</v>
      </c>
      <c r="G56" s="118" t="b">
        <v>1</v>
      </c>
      <c r="H56" s="118"/>
      <c r="I56" s="191" t="s">
        <v>731</v>
      </c>
      <c r="J56" t="s">
        <v>695</v>
      </c>
      <c r="K56" s="191" t="s">
        <v>738</v>
      </c>
      <c r="L56" t="s">
        <v>442</v>
      </c>
      <c r="M56" s="191" t="s">
        <v>741</v>
      </c>
      <c r="N56" t="s">
        <v>150</v>
      </c>
      <c r="O56" s="191" t="s">
        <v>743</v>
      </c>
      <c r="P56" t="s">
        <v>444</v>
      </c>
      <c r="Q56" s="191" t="s">
        <v>747</v>
      </c>
      <c r="R56" t="s">
        <v>918</v>
      </c>
      <c r="S56" s="191" t="s">
        <v>750</v>
      </c>
      <c r="T56" t="s">
        <v>445</v>
      </c>
      <c r="U56" s="191" t="s">
        <v>753</v>
      </c>
      <c r="V56" t="s">
        <v>897</v>
      </c>
    </row>
    <row r="57" spans="1:22" ht="12.75">
      <c r="A57" s="118"/>
      <c r="B57" s="118" t="b">
        <v>0</v>
      </c>
      <c r="C57" s="118"/>
      <c r="D57" s="118" t="b">
        <v>0</v>
      </c>
      <c r="E57" s="118" t="b">
        <v>0</v>
      </c>
      <c r="F57" s="118" t="b">
        <v>0</v>
      </c>
      <c r="G57" s="118" t="e">
        <f>MATCH('1. Demande'!F106,Mesures,0)</f>
        <v>#N/A</v>
      </c>
      <c r="H57" s="118">
        <v>0.15</v>
      </c>
      <c r="I57" s="191" t="s">
        <v>732</v>
      </c>
      <c r="J57" t="s">
        <v>696</v>
      </c>
      <c r="K57" s="191" t="s">
        <v>311</v>
      </c>
      <c r="L57" t="s">
        <v>312</v>
      </c>
      <c r="O57" s="191" t="s">
        <v>744</v>
      </c>
      <c r="P57" t="s">
        <v>920</v>
      </c>
      <c r="Q57" s="191" t="s">
        <v>748</v>
      </c>
      <c r="R57" t="s">
        <v>447</v>
      </c>
      <c r="S57" s="191" t="s">
        <v>751</v>
      </c>
      <c r="T57" t="s">
        <v>446</v>
      </c>
      <c r="U57" s="191" t="s">
        <v>900</v>
      </c>
      <c r="V57" t="s">
        <v>899</v>
      </c>
    </row>
    <row r="58" spans="1:16" ht="12.75">
      <c r="A58" s="118"/>
      <c r="B58" s="118" t="b">
        <v>0</v>
      </c>
      <c r="C58" s="118"/>
      <c r="D58" s="118" t="b">
        <v>0</v>
      </c>
      <c r="E58" s="118" t="b">
        <v>0</v>
      </c>
      <c r="F58" s="118" t="b">
        <v>0</v>
      </c>
      <c r="G58" s="118" t="e">
        <f ca="1">INDEX(OFFSET(Mesures,,4,,),G57)</f>
        <v>#N/A</v>
      </c>
      <c r="H58" s="118">
        <v>0.15</v>
      </c>
      <c r="I58" s="191" t="s">
        <v>733</v>
      </c>
      <c r="J58" t="s">
        <v>438</v>
      </c>
      <c r="K58" s="191" t="s">
        <v>310</v>
      </c>
      <c r="L58" t="s">
        <v>443</v>
      </c>
      <c r="O58" s="191" t="s">
        <v>744</v>
      </c>
      <c r="P58" t="s">
        <v>305</v>
      </c>
    </row>
    <row r="59" spans="1:16" ht="12.75">
      <c r="A59" s="118"/>
      <c r="B59" s="118" t="b">
        <v>0</v>
      </c>
      <c r="C59" s="118"/>
      <c r="D59" s="118" t="b">
        <v>0</v>
      </c>
      <c r="E59" s="118"/>
      <c r="F59" s="118" t="b">
        <v>0</v>
      </c>
      <c r="G59" s="118" t="b">
        <v>0</v>
      </c>
      <c r="H59" s="118">
        <v>0.1</v>
      </c>
      <c r="I59" s="191" t="s">
        <v>734</v>
      </c>
      <c r="J59" t="s">
        <v>439</v>
      </c>
      <c r="K59" s="191" t="s">
        <v>739</v>
      </c>
      <c r="L59" t="s">
        <v>463</v>
      </c>
      <c r="O59" s="191" t="s">
        <v>745</v>
      </c>
      <c r="P59" t="s">
        <v>919</v>
      </c>
    </row>
    <row r="60" spans="2:10" ht="12.75">
      <c r="B60" s="118" t="b">
        <v>0</v>
      </c>
      <c r="D60" s="118" t="b">
        <v>0</v>
      </c>
      <c r="I60" s="191" t="s">
        <v>735</v>
      </c>
      <c r="J60" t="s">
        <v>440</v>
      </c>
    </row>
    <row r="61" spans="2:15" ht="12.75">
      <c r="B61" s="118" t="b">
        <v>0</v>
      </c>
      <c r="I61" s="191" t="s">
        <v>736</v>
      </c>
      <c r="J61" t="s">
        <v>441</v>
      </c>
      <c r="O61" s="191"/>
    </row>
    <row r="62" spans="2:7" ht="12.75">
      <c r="B62" s="734" t="s">
        <v>234</v>
      </c>
      <c r="C62" s="734"/>
      <c r="D62" s="734" t="s">
        <v>235</v>
      </c>
      <c r="E62" s="734"/>
      <c r="F62" s="133"/>
      <c r="G62" s="133"/>
    </row>
    <row r="63" spans="2:5" ht="12.75">
      <c r="B63" t="s">
        <v>212</v>
      </c>
      <c r="C63" t="s">
        <v>213</v>
      </c>
      <c r="D63" t="s">
        <v>212</v>
      </c>
      <c r="E63" t="s">
        <v>213</v>
      </c>
    </row>
    <row r="64" spans="1:5" ht="12.75">
      <c r="A64" t="s">
        <v>955</v>
      </c>
      <c r="B64">
        <v>0</v>
      </c>
      <c r="C64" t="e">
        <f>IF(MATCH('1. Demande'!F106,Mesures,0)=2,10773*SUM('1. Demande'!Z113:Z118)+141908,0)</f>
        <v>#N/A</v>
      </c>
      <c r="D64">
        <v>0</v>
      </c>
      <c r="E64" t="e">
        <f>'2. Plan d''implantation'!S50</f>
        <v>#N/A</v>
      </c>
    </row>
    <row r="65" spans="1:5" ht="12.75">
      <c r="A65" t="s">
        <v>956</v>
      </c>
      <c r="B65">
        <v>0</v>
      </c>
      <c r="C65">
        <v>0</v>
      </c>
      <c r="D65">
        <v>0</v>
      </c>
      <c r="E65">
        <v>0</v>
      </c>
    </row>
    <row r="66" spans="1:5" ht="12.75">
      <c r="A66" t="s">
        <v>957</v>
      </c>
      <c r="B66">
        <v>0</v>
      </c>
      <c r="C66">
        <v>0</v>
      </c>
      <c r="D66">
        <v>0</v>
      </c>
      <c r="E66">
        <v>0</v>
      </c>
    </row>
    <row r="67" spans="1:5" ht="12.75">
      <c r="A67" t="s">
        <v>958</v>
      </c>
      <c r="B67">
        <v>0</v>
      </c>
      <c r="C67">
        <v>0</v>
      </c>
      <c r="D67">
        <v>0</v>
      </c>
      <c r="E67">
        <v>0</v>
      </c>
    </row>
    <row r="68" spans="1:5" ht="12.75">
      <c r="A68" t="s">
        <v>959</v>
      </c>
      <c r="B68">
        <v>0</v>
      </c>
      <c r="C68">
        <v>0</v>
      </c>
      <c r="D68">
        <v>0</v>
      </c>
      <c r="E68">
        <v>0</v>
      </c>
    </row>
    <row r="69" spans="1:5" ht="12.75">
      <c r="A69" t="s">
        <v>960</v>
      </c>
      <c r="B69">
        <v>0</v>
      </c>
      <c r="C69">
        <v>0</v>
      </c>
      <c r="D69">
        <v>0</v>
      </c>
      <c r="E69">
        <v>0</v>
      </c>
    </row>
    <row r="70" spans="1:5" ht="12.75">
      <c r="A70" t="s">
        <v>125</v>
      </c>
      <c r="B70">
        <f>SUM(B64:B69)</f>
        <v>0</v>
      </c>
      <c r="C70" t="e">
        <f>SUM(C64:C69)</f>
        <v>#N/A</v>
      </c>
      <c r="D70">
        <f>SUM(D64:D69)</f>
        <v>0</v>
      </c>
      <c r="E70" t="e">
        <f>SUM(E64:E69)</f>
        <v>#N/A</v>
      </c>
    </row>
    <row r="74" spans="1:31" ht="12.75" customHeight="1">
      <c r="A74" s="266" t="s">
        <v>260</v>
      </c>
      <c r="B74" s="266" t="s">
        <v>261</v>
      </c>
      <c r="C74" s="266" t="s">
        <v>262</v>
      </c>
      <c r="D74" s="266" t="s">
        <v>263</v>
      </c>
      <c r="E74" s="266" t="s">
        <v>491</v>
      </c>
      <c r="F74" s="266" t="s">
        <v>264</v>
      </c>
      <c r="G74" s="266" t="s">
        <v>265</v>
      </c>
      <c r="H74" s="266" t="s">
        <v>266</v>
      </c>
      <c r="I74" s="266" t="s">
        <v>267</v>
      </c>
      <c r="J74" s="266" t="s">
        <v>268</v>
      </c>
      <c r="K74" s="266" t="s">
        <v>269</v>
      </c>
      <c r="L74" s="266" t="s">
        <v>270</v>
      </c>
      <c r="M74" s="266" t="s">
        <v>271</v>
      </c>
      <c r="N74" s="266" t="s">
        <v>272</v>
      </c>
      <c r="O74" s="266" t="s">
        <v>273</v>
      </c>
      <c r="P74" s="266" t="s">
        <v>274</v>
      </c>
      <c r="Q74" s="266" t="s">
        <v>275</v>
      </c>
      <c r="R74" s="266" t="s">
        <v>276</v>
      </c>
      <c r="S74" s="266" t="s">
        <v>277</v>
      </c>
      <c r="T74" s="266" t="s">
        <v>278</v>
      </c>
      <c r="U74" s="266" t="s">
        <v>279</v>
      </c>
      <c r="V74" s="266" t="s">
        <v>280</v>
      </c>
      <c r="W74" s="266" t="s">
        <v>281</v>
      </c>
      <c r="X74" s="266" t="s">
        <v>282</v>
      </c>
      <c r="Z74" s="141" t="s">
        <v>347</v>
      </c>
      <c r="AA74" s="141" t="s">
        <v>348</v>
      </c>
      <c r="AB74" s="141"/>
      <c r="AC74" s="141" t="s">
        <v>349</v>
      </c>
      <c r="AD74" s="141" t="s">
        <v>350</v>
      </c>
      <c r="AE74" s="141" t="s">
        <v>351</v>
      </c>
    </row>
    <row r="75" spans="1:31" ht="12.75" customHeight="1">
      <c r="A75" s="142">
        <v>1</v>
      </c>
      <c r="B75" s="143" t="s">
        <v>283</v>
      </c>
      <c r="C75" s="143" t="s">
        <v>121</v>
      </c>
      <c r="D75" s="262">
        <v>3.6</v>
      </c>
      <c r="E75" s="263">
        <v>2.04</v>
      </c>
      <c r="F75" s="262">
        <v>1</v>
      </c>
      <c r="G75" s="262">
        <v>3413</v>
      </c>
      <c r="H75" s="250" t="s">
        <v>492</v>
      </c>
      <c r="I75" s="250" t="s">
        <v>493</v>
      </c>
      <c r="J75" s="143"/>
      <c r="K75" s="262">
        <v>2</v>
      </c>
      <c r="L75" s="262">
        <v>0.0002</v>
      </c>
      <c r="M75" s="262">
        <v>0.0001</v>
      </c>
      <c r="N75" s="263">
        <v>2.04</v>
      </c>
      <c r="O75" s="250" t="s">
        <v>686</v>
      </c>
      <c r="P75" s="263">
        <v>0</v>
      </c>
      <c r="Q75" s="250" t="s">
        <v>284</v>
      </c>
      <c r="R75" s="250" t="s">
        <v>284</v>
      </c>
      <c r="S75" s="250" t="s">
        <v>284</v>
      </c>
      <c r="T75" s="250" t="s">
        <v>284</v>
      </c>
      <c r="U75" s="250" t="s">
        <v>284</v>
      </c>
      <c r="V75" s="250" t="s">
        <v>284</v>
      </c>
      <c r="W75" s="264">
        <v>0</v>
      </c>
      <c r="X75" s="262">
        <v>0</v>
      </c>
      <c r="Y75" s="118"/>
      <c r="Z75" s="263">
        <v>1</v>
      </c>
      <c r="AA75" s="250" t="s">
        <v>813</v>
      </c>
      <c r="AB75" s="118" t="s">
        <v>292</v>
      </c>
      <c r="AC75" s="250" t="s">
        <v>269</v>
      </c>
      <c r="AD75" s="262">
        <v>1</v>
      </c>
      <c r="AE75" s="250" t="s">
        <v>303</v>
      </c>
    </row>
    <row r="76" spans="1:31" ht="12.75" customHeight="1">
      <c r="A76" s="142">
        <v>2</v>
      </c>
      <c r="B76" s="143" t="s">
        <v>122</v>
      </c>
      <c r="C76" s="143" t="s">
        <v>285</v>
      </c>
      <c r="D76" s="262">
        <v>37.89</v>
      </c>
      <c r="E76" s="263">
        <v>1889.32</v>
      </c>
      <c r="F76" s="262">
        <v>10.525</v>
      </c>
      <c r="G76" s="262">
        <v>35921.944</v>
      </c>
      <c r="H76" s="250" t="s">
        <v>494</v>
      </c>
      <c r="I76" s="250" t="s">
        <v>495</v>
      </c>
      <c r="J76" s="143"/>
      <c r="K76" s="262">
        <v>1878</v>
      </c>
      <c r="L76" s="262">
        <v>0.037</v>
      </c>
      <c r="M76" s="262">
        <v>0.034</v>
      </c>
      <c r="N76" s="263">
        <v>1889.32</v>
      </c>
      <c r="O76" s="250" t="s">
        <v>496</v>
      </c>
      <c r="P76" s="263">
        <v>0</v>
      </c>
      <c r="Q76" s="250" t="s">
        <v>497</v>
      </c>
      <c r="R76" s="250" t="s">
        <v>498</v>
      </c>
      <c r="S76" s="250" t="s">
        <v>499</v>
      </c>
      <c r="T76" s="250" t="s">
        <v>500</v>
      </c>
      <c r="U76" s="250" t="s">
        <v>501</v>
      </c>
      <c r="V76" s="250" t="s">
        <v>502</v>
      </c>
      <c r="W76" s="264">
        <v>0.1285</v>
      </c>
      <c r="X76" s="262">
        <v>244.4078995</v>
      </c>
      <c r="Y76" s="118"/>
      <c r="Z76" s="263">
        <v>10</v>
      </c>
      <c r="AA76" s="250" t="s">
        <v>365</v>
      </c>
      <c r="AB76" s="118" t="s">
        <v>292</v>
      </c>
      <c r="AC76" s="250" t="s">
        <v>366</v>
      </c>
      <c r="AD76" s="262">
        <v>1300</v>
      </c>
      <c r="AE76" s="250" t="s">
        <v>303</v>
      </c>
    </row>
    <row r="77" spans="1:31" ht="12.75" customHeight="1">
      <c r="A77" s="142">
        <v>3</v>
      </c>
      <c r="B77" s="143" t="s">
        <v>1055</v>
      </c>
      <c r="C77" s="143" t="s">
        <v>286</v>
      </c>
      <c r="D77" s="262">
        <v>38.5</v>
      </c>
      <c r="E77" s="263">
        <v>2734.736</v>
      </c>
      <c r="F77" s="262">
        <v>10.69</v>
      </c>
      <c r="G77" s="262">
        <v>36500.14</v>
      </c>
      <c r="H77" s="250" t="s">
        <v>302</v>
      </c>
      <c r="I77" s="250" t="s">
        <v>503</v>
      </c>
      <c r="J77" s="143"/>
      <c r="K77" s="262">
        <v>2725</v>
      </c>
      <c r="L77" s="262">
        <v>0.006</v>
      </c>
      <c r="M77" s="262">
        <v>0.031</v>
      </c>
      <c r="N77" s="263">
        <v>2734.736</v>
      </c>
      <c r="O77" s="250" t="s">
        <v>504</v>
      </c>
      <c r="P77" s="263">
        <v>1</v>
      </c>
      <c r="Q77" s="250" t="s">
        <v>284</v>
      </c>
      <c r="R77" s="250" t="s">
        <v>284</v>
      </c>
      <c r="S77" s="250" t="s">
        <v>284</v>
      </c>
      <c r="T77" s="250" t="s">
        <v>284</v>
      </c>
      <c r="U77" s="250" t="s">
        <v>284</v>
      </c>
      <c r="V77" s="250" t="s">
        <v>284</v>
      </c>
      <c r="W77" s="264">
        <v>0.107</v>
      </c>
      <c r="X77" s="262">
        <v>292.616752</v>
      </c>
      <c r="Y77" s="118"/>
      <c r="Z77" s="263">
        <v>31</v>
      </c>
      <c r="AA77" s="250" t="s">
        <v>814</v>
      </c>
      <c r="AB77" s="118" t="s">
        <v>292</v>
      </c>
      <c r="AC77" s="250" t="s">
        <v>815</v>
      </c>
      <c r="AD77" s="262">
        <v>1810</v>
      </c>
      <c r="AE77" s="250" t="s">
        <v>816</v>
      </c>
    </row>
    <row r="78" spans="1:31" ht="12.75" customHeight="1">
      <c r="A78" s="142">
        <v>4</v>
      </c>
      <c r="B78" s="143" t="s">
        <v>1056</v>
      </c>
      <c r="C78" s="143" t="s">
        <v>286</v>
      </c>
      <c r="D78" s="262">
        <v>42.5</v>
      </c>
      <c r="E78" s="263">
        <v>3146.36</v>
      </c>
      <c r="F78" s="262">
        <v>11.805555555</v>
      </c>
      <c r="G78" s="262">
        <v>40292.36111</v>
      </c>
      <c r="H78" s="250" t="s">
        <v>302</v>
      </c>
      <c r="I78" s="250" t="s">
        <v>503</v>
      </c>
      <c r="J78" s="143"/>
      <c r="K78" s="262">
        <v>3124</v>
      </c>
      <c r="L78" s="262">
        <v>0.12</v>
      </c>
      <c r="M78" s="262">
        <v>0.064</v>
      </c>
      <c r="N78" s="263">
        <v>3146.36</v>
      </c>
      <c r="O78" s="250" t="s">
        <v>505</v>
      </c>
      <c r="P78" s="263">
        <v>1</v>
      </c>
      <c r="Q78" s="250" t="s">
        <v>284</v>
      </c>
      <c r="R78" s="250" t="s">
        <v>284</v>
      </c>
      <c r="S78" s="250" t="s">
        <v>284</v>
      </c>
      <c r="T78" s="250" t="s">
        <v>284</v>
      </c>
      <c r="U78" s="250" t="s">
        <v>284</v>
      </c>
      <c r="V78" s="250" t="s">
        <v>284</v>
      </c>
      <c r="W78" s="264">
        <v>0.137</v>
      </c>
      <c r="X78" s="262">
        <v>431.05132</v>
      </c>
      <c r="Y78" s="118"/>
      <c r="Z78" s="263">
        <v>47</v>
      </c>
      <c r="AA78" s="250" t="s">
        <v>407</v>
      </c>
      <c r="AB78" s="118" t="s">
        <v>292</v>
      </c>
      <c r="AC78" s="250" t="s">
        <v>817</v>
      </c>
      <c r="AD78" s="262">
        <v>3260</v>
      </c>
      <c r="AE78" s="250" t="s">
        <v>303</v>
      </c>
    </row>
    <row r="79" spans="1:31" ht="12.75" customHeight="1">
      <c r="A79" s="142">
        <v>5</v>
      </c>
      <c r="B79" s="143" t="s">
        <v>123</v>
      </c>
      <c r="C79" s="143" t="s">
        <v>286</v>
      </c>
      <c r="D79" s="262">
        <v>25.31</v>
      </c>
      <c r="E79" s="263">
        <v>1543.984</v>
      </c>
      <c r="F79" s="262">
        <v>7.03</v>
      </c>
      <c r="G79" s="262">
        <v>23995.29</v>
      </c>
      <c r="H79" s="250" t="s">
        <v>303</v>
      </c>
      <c r="I79" s="250" t="s">
        <v>506</v>
      </c>
      <c r="J79" s="143"/>
      <c r="K79" s="262">
        <v>1510</v>
      </c>
      <c r="L79" s="262">
        <v>0.024</v>
      </c>
      <c r="M79" s="262">
        <v>0.108</v>
      </c>
      <c r="N79" s="263">
        <v>1543.984</v>
      </c>
      <c r="O79" s="250" t="s">
        <v>507</v>
      </c>
      <c r="P79" s="263">
        <v>1</v>
      </c>
      <c r="Q79" s="250" t="s">
        <v>508</v>
      </c>
      <c r="R79" s="250" t="s">
        <v>509</v>
      </c>
      <c r="S79" s="250" t="s">
        <v>510</v>
      </c>
      <c r="T79" s="250" t="s">
        <v>511</v>
      </c>
      <c r="U79" s="250" t="s">
        <v>512</v>
      </c>
      <c r="V79" s="250" t="s">
        <v>513</v>
      </c>
      <c r="W79" s="264">
        <v>0.188</v>
      </c>
      <c r="X79" s="262">
        <v>290.268992</v>
      </c>
      <c r="Y79" s="118"/>
      <c r="Z79" s="263">
        <v>50</v>
      </c>
      <c r="AA79" s="250" t="s">
        <v>410</v>
      </c>
      <c r="AB79" s="118" t="s">
        <v>292</v>
      </c>
      <c r="AC79" s="250" t="s">
        <v>818</v>
      </c>
      <c r="AD79" s="262">
        <v>1770</v>
      </c>
      <c r="AE79" s="250" t="s">
        <v>303</v>
      </c>
    </row>
    <row r="80" spans="1:31" ht="12.75" customHeight="1">
      <c r="A80" s="142">
        <v>6</v>
      </c>
      <c r="B80" s="143" t="s">
        <v>287</v>
      </c>
      <c r="C80" s="143" t="s">
        <v>286</v>
      </c>
      <c r="D80" s="262">
        <v>38.3</v>
      </c>
      <c r="E80" s="263">
        <v>2789.793</v>
      </c>
      <c r="F80" s="262">
        <v>10.64</v>
      </c>
      <c r="G80" s="262">
        <v>36310.53</v>
      </c>
      <c r="H80" s="250" t="s">
        <v>303</v>
      </c>
      <c r="I80" s="250" t="s">
        <v>514</v>
      </c>
      <c r="J80" s="143"/>
      <c r="K80" s="262">
        <v>2663</v>
      </c>
      <c r="L80" s="262">
        <v>0.133</v>
      </c>
      <c r="M80" s="262">
        <v>0.4</v>
      </c>
      <c r="N80" s="263">
        <v>2789.793</v>
      </c>
      <c r="O80" s="250" t="s">
        <v>284</v>
      </c>
      <c r="P80" s="263">
        <v>1</v>
      </c>
      <c r="Q80" s="250" t="s">
        <v>515</v>
      </c>
      <c r="R80" s="250" t="s">
        <v>516</v>
      </c>
      <c r="S80" s="250" t="s">
        <v>517</v>
      </c>
      <c r="T80" s="250" t="s">
        <v>518</v>
      </c>
      <c r="U80" s="250" t="s">
        <v>519</v>
      </c>
      <c r="V80" s="250" t="s">
        <v>520</v>
      </c>
      <c r="W80" s="264">
        <v>0.107</v>
      </c>
      <c r="X80" s="262">
        <v>298.507851</v>
      </c>
      <c r="Y80" s="118"/>
      <c r="Z80" s="263">
        <v>85</v>
      </c>
      <c r="AA80" s="250" t="s">
        <v>819</v>
      </c>
      <c r="AB80" s="118" t="s">
        <v>292</v>
      </c>
      <c r="AC80" s="250" t="s">
        <v>820</v>
      </c>
      <c r="AD80" s="262">
        <v>3300</v>
      </c>
      <c r="AE80" s="250" t="s">
        <v>303</v>
      </c>
    </row>
    <row r="81" spans="1:31" ht="12.75" customHeight="1">
      <c r="A81" s="142">
        <v>7</v>
      </c>
      <c r="B81" s="143" t="s">
        <v>288</v>
      </c>
      <c r="C81" s="143" t="s">
        <v>286</v>
      </c>
      <c r="D81" s="262">
        <v>34.87</v>
      </c>
      <c r="E81" s="263">
        <v>2361.92</v>
      </c>
      <c r="F81" s="262">
        <v>9.69</v>
      </c>
      <c r="G81" s="262">
        <v>33058.7</v>
      </c>
      <c r="H81" s="250" t="s">
        <v>303</v>
      </c>
      <c r="I81" s="250" t="s">
        <v>521</v>
      </c>
      <c r="J81" s="143"/>
      <c r="K81" s="262">
        <v>2289</v>
      </c>
      <c r="L81" s="262">
        <v>2.7</v>
      </c>
      <c r="M81" s="262">
        <v>0.05</v>
      </c>
      <c r="N81" s="263">
        <v>2361.2</v>
      </c>
      <c r="O81" s="250" t="s">
        <v>284</v>
      </c>
      <c r="P81" s="263">
        <v>1</v>
      </c>
      <c r="Q81" s="250" t="s">
        <v>515</v>
      </c>
      <c r="R81" s="250" t="s">
        <v>516</v>
      </c>
      <c r="S81" s="250" t="s">
        <v>517</v>
      </c>
      <c r="T81" s="250" t="s">
        <v>518</v>
      </c>
      <c r="U81" s="250" t="s">
        <v>519</v>
      </c>
      <c r="V81" s="250" t="s">
        <v>520</v>
      </c>
      <c r="W81" s="264">
        <v>0.17</v>
      </c>
      <c r="X81" s="262">
        <v>401.5264</v>
      </c>
      <c r="Y81" s="118"/>
      <c r="Z81" s="263">
        <v>86</v>
      </c>
      <c r="AA81" s="250" t="s">
        <v>908</v>
      </c>
      <c r="AB81" s="118" t="s">
        <v>292</v>
      </c>
      <c r="AC81" s="250" t="s">
        <v>821</v>
      </c>
      <c r="AD81" s="262">
        <v>0</v>
      </c>
      <c r="AE81" s="250" t="s">
        <v>822</v>
      </c>
    </row>
    <row r="82" spans="1:31" ht="12.75" customHeight="1">
      <c r="A82" s="142">
        <v>8</v>
      </c>
      <c r="B82" s="143" t="s">
        <v>289</v>
      </c>
      <c r="C82" s="143" t="s">
        <v>286</v>
      </c>
      <c r="D82" s="262">
        <v>33.52</v>
      </c>
      <c r="E82" s="263">
        <v>2459.5</v>
      </c>
      <c r="F82" s="262">
        <v>9.31</v>
      </c>
      <c r="G82" s="262">
        <v>31778.82</v>
      </c>
      <c r="H82" s="250" t="s">
        <v>303</v>
      </c>
      <c r="I82" s="250" t="s">
        <v>521</v>
      </c>
      <c r="J82" s="143"/>
      <c r="K82" s="262">
        <v>2342</v>
      </c>
      <c r="L82" s="262">
        <v>2.2</v>
      </c>
      <c r="M82" s="262">
        <v>0.23</v>
      </c>
      <c r="N82" s="263">
        <v>2459.5</v>
      </c>
      <c r="O82" s="250" t="s">
        <v>284</v>
      </c>
      <c r="P82" s="263">
        <v>1</v>
      </c>
      <c r="Q82" s="250" t="s">
        <v>284</v>
      </c>
      <c r="R82" s="250" t="s">
        <v>284</v>
      </c>
      <c r="S82" s="250" t="s">
        <v>284</v>
      </c>
      <c r="T82" s="250" t="s">
        <v>284</v>
      </c>
      <c r="U82" s="250" t="s">
        <v>284</v>
      </c>
      <c r="V82" s="250" t="s">
        <v>284</v>
      </c>
      <c r="W82" s="264">
        <v>0.17</v>
      </c>
      <c r="X82" s="262">
        <v>418.115</v>
      </c>
      <c r="Y82" s="118"/>
      <c r="Z82" s="263">
        <v>92</v>
      </c>
      <c r="AA82" s="250" t="s">
        <v>823</v>
      </c>
      <c r="AB82" s="118" t="s">
        <v>292</v>
      </c>
      <c r="AC82" s="250" t="s">
        <v>824</v>
      </c>
      <c r="AD82" s="262">
        <v>2292.28</v>
      </c>
      <c r="AE82" s="250" t="s">
        <v>303</v>
      </c>
    </row>
    <row r="83" spans="1:31" ht="12.75" customHeight="1">
      <c r="A83" s="142">
        <v>9</v>
      </c>
      <c r="B83" s="143" t="s">
        <v>304</v>
      </c>
      <c r="C83" s="143" t="s">
        <v>286</v>
      </c>
      <c r="D83" s="262">
        <v>37.4</v>
      </c>
      <c r="E83" s="263">
        <v>2606.98</v>
      </c>
      <c r="F83" s="262">
        <v>10.39</v>
      </c>
      <c r="G83" s="262">
        <v>35457.28</v>
      </c>
      <c r="H83" s="250" t="s">
        <v>303</v>
      </c>
      <c r="I83" s="250" t="s">
        <v>284</v>
      </c>
      <c r="J83" s="143" t="s">
        <v>284</v>
      </c>
      <c r="K83" s="262">
        <v>2534</v>
      </c>
      <c r="L83" s="262">
        <v>0.08</v>
      </c>
      <c r="M83" s="262">
        <v>0.23</v>
      </c>
      <c r="N83" s="263">
        <v>2606.98</v>
      </c>
      <c r="O83" s="250" t="s">
        <v>284</v>
      </c>
      <c r="P83" s="263">
        <v>1</v>
      </c>
      <c r="Q83" s="250" t="s">
        <v>522</v>
      </c>
      <c r="R83" s="250" t="s">
        <v>523</v>
      </c>
      <c r="S83" s="250" t="s">
        <v>524</v>
      </c>
      <c r="T83" s="250" t="s">
        <v>525</v>
      </c>
      <c r="U83" s="250" t="s">
        <v>526</v>
      </c>
      <c r="V83" s="250" t="s">
        <v>527</v>
      </c>
      <c r="W83" s="264">
        <v>0.093</v>
      </c>
      <c r="X83" s="262">
        <v>242.44914</v>
      </c>
      <c r="Y83" s="118"/>
      <c r="Z83" s="263">
        <v>74</v>
      </c>
      <c r="AA83" s="250" t="s">
        <v>431</v>
      </c>
      <c r="AB83" s="118" t="s">
        <v>292</v>
      </c>
      <c r="AC83" s="250" t="s">
        <v>825</v>
      </c>
      <c r="AD83" s="262">
        <v>5</v>
      </c>
      <c r="AE83" s="250" t="s">
        <v>816</v>
      </c>
    </row>
    <row r="84" spans="1:31" ht="12.75" customHeight="1">
      <c r="A84" s="142">
        <v>10</v>
      </c>
      <c r="B84" s="143" t="s">
        <v>290</v>
      </c>
      <c r="C84" s="143" t="s">
        <v>286</v>
      </c>
      <c r="D84" s="262">
        <v>37.68</v>
      </c>
      <c r="E84" s="263">
        <v>2543.736</v>
      </c>
      <c r="F84" s="262">
        <v>10.469444</v>
      </c>
      <c r="G84" s="262">
        <v>35722.73</v>
      </c>
      <c r="H84" s="250" t="s">
        <v>303</v>
      </c>
      <c r="I84" s="250" t="s">
        <v>284</v>
      </c>
      <c r="J84" s="143" t="s">
        <v>284</v>
      </c>
      <c r="K84" s="262">
        <v>2534</v>
      </c>
      <c r="L84" s="262">
        <v>0.006</v>
      </c>
      <c r="M84" s="262">
        <v>0.031</v>
      </c>
      <c r="N84" s="263">
        <v>2543.736</v>
      </c>
      <c r="O84" s="250" t="s">
        <v>284</v>
      </c>
      <c r="P84" s="263">
        <v>1</v>
      </c>
      <c r="Q84" s="250" t="s">
        <v>284</v>
      </c>
      <c r="R84" s="250" t="s">
        <v>284</v>
      </c>
      <c r="S84" s="250" t="s">
        <v>284</v>
      </c>
      <c r="T84" s="250" t="s">
        <v>284</v>
      </c>
      <c r="U84" s="250" t="s">
        <v>284</v>
      </c>
      <c r="V84" s="250" t="s">
        <v>284</v>
      </c>
      <c r="W84" s="264">
        <v>0.093</v>
      </c>
      <c r="X84" s="262">
        <v>236.567448</v>
      </c>
      <c r="Y84" s="118"/>
      <c r="Z84" s="263">
        <v>25</v>
      </c>
      <c r="AA84" s="250" t="s">
        <v>387</v>
      </c>
      <c r="AB84" s="118" t="s">
        <v>292</v>
      </c>
      <c r="AC84" s="250" t="s">
        <v>826</v>
      </c>
      <c r="AD84" s="262">
        <v>4750</v>
      </c>
      <c r="AE84" s="250" t="s">
        <v>816</v>
      </c>
    </row>
    <row r="85" spans="1:31" ht="12.75" customHeight="1">
      <c r="A85" s="142">
        <v>11</v>
      </c>
      <c r="B85" s="143" t="s">
        <v>291</v>
      </c>
      <c r="C85" s="143" t="s">
        <v>286</v>
      </c>
      <c r="D85" s="262">
        <v>44.46</v>
      </c>
      <c r="E85" s="263">
        <v>1778.4</v>
      </c>
      <c r="F85" s="262">
        <v>12.35</v>
      </c>
      <c r="G85" s="262">
        <v>42150.55</v>
      </c>
      <c r="H85" s="250" t="s">
        <v>528</v>
      </c>
      <c r="I85" s="250" t="s">
        <v>284</v>
      </c>
      <c r="J85" s="143" t="s">
        <v>284</v>
      </c>
      <c r="K85" s="262">
        <v>1778.4</v>
      </c>
      <c r="L85" s="262" t="s">
        <v>284</v>
      </c>
      <c r="M85" s="262" t="s">
        <v>284</v>
      </c>
      <c r="N85" s="263">
        <v>1778.4</v>
      </c>
      <c r="O85" s="250" t="s">
        <v>284</v>
      </c>
      <c r="P85" s="263">
        <v>1</v>
      </c>
      <c r="Q85" s="250" t="s">
        <v>529</v>
      </c>
      <c r="R85" s="250" t="s">
        <v>530</v>
      </c>
      <c r="S85" s="250" t="s">
        <v>531</v>
      </c>
      <c r="T85" s="250" t="s">
        <v>532</v>
      </c>
      <c r="U85" s="250" t="s">
        <v>527</v>
      </c>
      <c r="V85" s="250" t="s">
        <v>533</v>
      </c>
      <c r="W85" s="264">
        <v>0.137</v>
      </c>
      <c r="X85" s="262">
        <v>243.6408</v>
      </c>
      <c r="Y85" s="118"/>
      <c r="Z85" s="263">
        <v>28</v>
      </c>
      <c r="AA85" s="250" t="s">
        <v>390</v>
      </c>
      <c r="AB85" s="118" t="s">
        <v>292</v>
      </c>
      <c r="AC85" s="250" t="s">
        <v>827</v>
      </c>
      <c r="AD85" s="262">
        <v>6130</v>
      </c>
      <c r="AE85" s="250" t="s">
        <v>816</v>
      </c>
    </row>
    <row r="86" spans="1:31" ht="12.75" customHeight="1">
      <c r="A86" s="142">
        <v>12</v>
      </c>
      <c r="B86" s="143" t="s">
        <v>315</v>
      </c>
      <c r="C86" s="143" t="s">
        <v>286</v>
      </c>
      <c r="D86" s="262">
        <v>36.08</v>
      </c>
      <c r="E86" s="263">
        <v>1756.88</v>
      </c>
      <c r="F86" s="262">
        <v>10.02</v>
      </c>
      <c r="G86" s="262">
        <v>34205.84</v>
      </c>
      <c r="H86" s="250" t="s">
        <v>303</v>
      </c>
      <c r="I86" s="250" t="s">
        <v>284</v>
      </c>
      <c r="J86" s="143" t="s">
        <v>284</v>
      </c>
      <c r="K86" s="262">
        <v>1750</v>
      </c>
      <c r="L86" s="262" t="s">
        <v>284</v>
      </c>
      <c r="M86" s="262">
        <v>0.0222</v>
      </c>
      <c r="N86" s="263">
        <v>1756.88</v>
      </c>
      <c r="O86" s="250" t="s">
        <v>284</v>
      </c>
      <c r="P86" s="263">
        <v>1</v>
      </c>
      <c r="Q86" s="250" t="s">
        <v>534</v>
      </c>
      <c r="R86" s="250" t="s">
        <v>535</v>
      </c>
      <c r="S86" s="250" t="s">
        <v>536</v>
      </c>
      <c r="T86" s="250" t="s">
        <v>537</v>
      </c>
      <c r="U86" s="250" t="s">
        <v>538</v>
      </c>
      <c r="V86" s="250" t="s">
        <v>539</v>
      </c>
      <c r="W86" s="264">
        <v>0.188</v>
      </c>
      <c r="X86" s="262">
        <v>329.001128</v>
      </c>
      <c r="Y86" s="118"/>
      <c r="Z86" s="263">
        <v>29</v>
      </c>
      <c r="AA86" s="250" t="s">
        <v>391</v>
      </c>
      <c r="AB86" s="118" t="s">
        <v>292</v>
      </c>
      <c r="AC86" s="250" t="s">
        <v>828</v>
      </c>
      <c r="AD86" s="262">
        <v>10000</v>
      </c>
      <c r="AE86" s="250" t="s">
        <v>816</v>
      </c>
    </row>
    <row r="87" spans="1:31" ht="12.75" customHeight="1">
      <c r="A87" s="142">
        <v>16</v>
      </c>
      <c r="B87" s="143" t="s">
        <v>293</v>
      </c>
      <c r="C87" s="143" t="s">
        <v>292</v>
      </c>
      <c r="D87" s="262">
        <v>15</v>
      </c>
      <c r="E87" s="263">
        <v>1486.83</v>
      </c>
      <c r="F87" s="262">
        <v>4.17</v>
      </c>
      <c r="G87" s="262">
        <v>14220.83</v>
      </c>
      <c r="H87" s="250" t="s">
        <v>303</v>
      </c>
      <c r="I87" s="250" t="s">
        <v>284</v>
      </c>
      <c r="J87" s="143" t="s">
        <v>284</v>
      </c>
      <c r="K87" s="262">
        <v>1480</v>
      </c>
      <c r="L87" s="262">
        <v>0.03</v>
      </c>
      <c r="M87" s="262">
        <v>0.02</v>
      </c>
      <c r="N87" s="263">
        <v>1486.83</v>
      </c>
      <c r="O87" s="250" t="s">
        <v>284</v>
      </c>
      <c r="P87" s="263">
        <v>1</v>
      </c>
      <c r="Q87" s="250" t="s">
        <v>540</v>
      </c>
      <c r="R87" s="250" t="s">
        <v>541</v>
      </c>
      <c r="S87" s="250" t="s">
        <v>542</v>
      </c>
      <c r="T87" s="250" t="s">
        <v>543</v>
      </c>
      <c r="U87" s="250" t="s">
        <v>544</v>
      </c>
      <c r="V87" s="250" t="s">
        <v>545</v>
      </c>
      <c r="W87" s="264">
        <v>0.08</v>
      </c>
      <c r="X87" s="262">
        <v>118.9464</v>
      </c>
      <c r="Y87" s="118"/>
      <c r="Z87" s="263">
        <v>30</v>
      </c>
      <c r="AA87" s="250" t="s">
        <v>392</v>
      </c>
      <c r="AB87" s="118" t="s">
        <v>292</v>
      </c>
      <c r="AC87" s="250" t="s">
        <v>829</v>
      </c>
      <c r="AD87" s="262">
        <v>7370</v>
      </c>
      <c r="AE87" s="250" t="s">
        <v>816</v>
      </c>
    </row>
    <row r="88" spans="1:31" ht="12.75" customHeight="1">
      <c r="A88" s="142">
        <v>19</v>
      </c>
      <c r="B88" s="143" t="s">
        <v>294</v>
      </c>
      <c r="C88" s="143" t="s">
        <v>286</v>
      </c>
      <c r="D88" s="262">
        <v>28.44</v>
      </c>
      <c r="E88" s="263">
        <v>1763.984</v>
      </c>
      <c r="F88" s="262">
        <v>7.9</v>
      </c>
      <c r="G88" s="262">
        <v>26962.7</v>
      </c>
      <c r="H88" s="250" t="s">
        <v>303</v>
      </c>
      <c r="I88" s="250" t="s">
        <v>284</v>
      </c>
      <c r="J88" s="143" t="s">
        <v>284</v>
      </c>
      <c r="K88" s="262">
        <v>1730</v>
      </c>
      <c r="L88" s="262">
        <v>0.024</v>
      </c>
      <c r="M88" s="262">
        <v>0.108</v>
      </c>
      <c r="N88" s="263">
        <v>1763.984</v>
      </c>
      <c r="O88" s="250" t="s">
        <v>284</v>
      </c>
      <c r="P88" s="263">
        <v>1</v>
      </c>
      <c r="Q88" s="250" t="s">
        <v>284</v>
      </c>
      <c r="R88" s="250" t="s">
        <v>284</v>
      </c>
      <c r="S88" s="250" t="s">
        <v>284</v>
      </c>
      <c r="T88" s="250" t="s">
        <v>284</v>
      </c>
      <c r="U88" s="250" t="s">
        <v>284</v>
      </c>
      <c r="V88" s="250" t="s">
        <v>284</v>
      </c>
      <c r="W88" s="264">
        <v>0.188</v>
      </c>
      <c r="X88" s="262">
        <v>331.628992</v>
      </c>
      <c r="Y88" s="118"/>
      <c r="Z88" s="263">
        <v>26</v>
      </c>
      <c r="AA88" s="250" t="s">
        <v>388</v>
      </c>
      <c r="AB88" s="118" t="s">
        <v>292</v>
      </c>
      <c r="AC88" s="250" t="s">
        <v>830</v>
      </c>
      <c r="AD88" s="262">
        <v>10900</v>
      </c>
      <c r="AE88" s="250" t="s">
        <v>816</v>
      </c>
    </row>
    <row r="89" spans="1:31" ht="12.75" customHeight="1">
      <c r="A89" s="142">
        <v>20</v>
      </c>
      <c r="B89" s="143" t="s">
        <v>295</v>
      </c>
      <c r="C89" s="143" t="s">
        <v>286</v>
      </c>
      <c r="D89" s="262">
        <v>17.22</v>
      </c>
      <c r="E89" s="263">
        <v>976</v>
      </c>
      <c r="F89" s="262">
        <v>4.78</v>
      </c>
      <c r="G89" s="262">
        <v>16325.52</v>
      </c>
      <c r="H89" s="250" t="s">
        <v>303</v>
      </c>
      <c r="I89" s="250" t="s">
        <v>284</v>
      </c>
      <c r="J89" s="143" t="s">
        <v>284</v>
      </c>
      <c r="K89" s="262">
        <v>976</v>
      </c>
      <c r="L89" s="262" t="s">
        <v>284</v>
      </c>
      <c r="M89" s="262" t="s">
        <v>284</v>
      </c>
      <c r="N89" s="263">
        <v>976</v>
      </c>
      <c r="O89" s="250" t="s">
        <v>284</v>
      </c>
      <c r="P89" s="263">
        <v>1</v>
      </c>
      <c r="Q89" s="250" t="s">
        <v>284</v>
      </c>
      <c r="R89" s="250" t="s">
        <v>284</v>
      </c>
      <c r="S89" s="250" t="s">
        <v>284</v>
      </c>
      <c r="T89" s="250" t="s">
        <v>284</v>
      </c>
      <c r="U89" s="250" t="s">
        <v>284</v>
      </c>
      <c r="V89" s="250" t="s">
        <v>284</v>
      </c>
      <c r="W89" s="264">
        <v>0.093</v>
      </c>
      <c r="X89" s="262">
        <v>90.768</v>
      </c>
      <c r="Y89" s="118"/>
      <c r="Z89" s="263">
        <v>27</v>
      </c>
      <c r="AA89" s="250" t="s">
        <v>389</v>
      </c>
      <c r="AB89" s="118" t="s">
        <v>292</v>
      </c>
      <c r="AC89" s="250" t="s">
        <v>831</v>
      </c>
      <c r="AD89" s="262">
        <v>14400</v>
      </c>
      <c r="AE89" s="250" t="s">
        <v>816</v>
      </c>
    </row>
    <row r="90" spans="1:31" ht="12.75" customHeight="1">
      <c r="A90" s="142">
        <v>21</v>
      </c>
      <c r="B90" s="143" t="s">
        <v>317</v>
      </c>
      <c r="C90" s="143" t="s">
        <v>292</v>
      </c>
      <c r="D90" s="262">
        <v>28.83</v>
      </c>
      <c r="E90" s="263">
        <v>2486.83</v>
      </c>
      <c r="F90" s="262">
        <v>8.008333333</v>
      </c>
      <c r="G90" s="262">
        <v>27332.44167</v>
      </c>
      <c r="H90" s="250" t="s">
        <v>546</v>
      </c>
      <c r="I90" s="250" t="s">
        <v>284</v>
      </c>
      <c r="J90" s="143" t="s">
        <v>284</v>
      </c>
      <c r="K90" s="262">
        <v>2480</v>
      </c>
      <c r="L90" s="262">
        <v>0.03</v>
      </c>
      <c r="M90" s="262">
        <v>0.02</v>
      </c>
      <c r="N90" s="263">
        <v>2486.83</v>
      </c>
      <c r="O90" s="250" t="s">
        <v>284</v>
      </c>
      <c r="P90" s="263">
        <v>1</v>
      </c>
      <c r="Q90" s="250" t="s">
        <v>547</v>
      </c>
      <c r="R90" s="250" t="s">
        <v>548</v>
      </c>
      <c r="S90" s="250" t="s">
        <v>549</v>
      </c>
      <c r="T90" s="250" t="s">
        <v>550</v>
      </c>
      <c r="U90" s="250" t="s">
        <v>551</v>
      </c>
      <c r="V90" s="250" t="s">
        <v>552</v>
      </c>
      <c r="W90" s="264">
        <v>0.08</v>
      </c>
      <c r="X90" s="262">
        <v>198.9464</v>
      </c>
      <c r="Y90" s="118"/>
      <c r="Z90" s="263">
        <v>38</v>
      </c>
      <c r="AA90" s="250" t="s">
        <v>399</v>
      </c>
      <c r="AB90" s="118" t="s">
        <v>292</v>
      </c>
      <c r="AC90" s="250" t="s">
        <v>832</v>
      </c>
      <c r="AD90" s="262">
        <v>7140</v>
      </c>
      <c r="AE90" s="250" t="s">
        <v>816</v>
      </c>
    </row>
    <row r="91" spans="1:31" ht="12.75" customHeight="1">
      <c r="A91" s="142">
        <v>22</v>
      </c>
      <c r="B91" s="143" t="s">
        <v>318</v>
      </c>
      <c r="C91" s="143" t="s">
        <v>292</v>
      </c>
      <c r="D91" s="262">
        <v>46.35</v>
      </c>
      <c r="E91" s="263">
        <v>3836.735</v>
      </c>
      <c r="F91" s="262">
        <v>12.88</v>
      </c>
      <c r="G91" s="262">
        <v>43942.38</v>
      </c>
      <c r="H91" s="250" t="s">
        <v>303</v>
      </c>
      <c r="I91" s="250" t="s">
        <v>284</v>
      </c>
      <c r="J91" s="143" t="s">
        <v>284</v>
      </c>
      <c r="K91" s="262">
        <v>3826</v>
      </c>
      <c r="L91" s="262">
        <v>0.12</v>
      </c>
      <c r="M91" s="262">
        <v>0.0265</v>
      </c>
      <c r="N91" s="263">
        <v>3836.735</v>
      </c>
      <c r="O91" s="250" t="s">
        <v>284</v>
      </c>
      <c r="P91" s="263">
        <v>1</v>
      </c>
      <c r="Q91" s="250" t="s">
        <v>553</v>
      </c>
      <c r="R91" s="250" t="s">
        <v>554</v>
      </c>
      <c r="S91" s="250" t="s">
        <v>555</v>
      </c>
      <c r="T91" s="250" t="s">
        <v>556</v>
      </c>
      <c r="U91" s="250" t="s">
        <v>557</v>
      </c>
      <c r="V91" s="250" t="s">
        <v>545</v>
      </c>
      <c r="W91" s="264">
        <v>0.08</v>
      </c>
      <c r="X91" s="262">
        <v>306.9388</v>
      </c>
      <c r="Y91" s="118"/>
      <c r="Z91" s="263">
        <v>83</v>
      </c>
      <c r="AA91" s="250" t="s">
        <v>833</v>
      </c>
      <c r="AB91" s="118" t="s">
        <v>292</v>
      </c>
      <c r="AC91" s="250" t="s">
        <v>834</v>
      </c>
      <c r="AD91" s="262">
        <v>1890</v>
      </c>
      <c r="AE91" s="250" t="s">
        <v>816</v>
      </c>
    </row>
    <row r="92" spans="1:31" ht="12.75" customHeight="1">
      <c r="A92" s="142">
        <v>23</v>
      </c>
      <c r="B92" s="143" t="s">
        <v>558</v>
      </c>
      <c r="C92" s="143" t="s">
        <v>292</v>
      </c>
      <c r="D92" s="262">
        <v>27.599911</v>
      </c>
      <c r="E92" s="263">
        <v>35.966</v>
      </c>
      <c r="F92" s="262">
        <v>7.6666419</v>
      </c>
      <c r="G92" s="262">
        <v>26166.248</v>
      </c>
      <c r="H92" s="250" t="s">
        <v>316</v>
      </c>
      <c r="I92" s="250" t="s">
        <v>284</v>
      </c>
      <c r="J92" s="143" t="s">
        <v>284</v>
      </c>
      <c r="K92" s="262">
        <v>3190</v>
      </c>
      <c r="L92" s="262">
        <v>0.576</v>
      </c>
      <c r="M92" s="262">
        <v>0.077</v>
      </c>
      <c r="N92" s="263">
        <v>3231.966</v>
      </c>
      <c r="O92" s="250" t="s">
        <v>284</v>
      </c>
      <c r="P92" s="263">
        <v>1</v>
      </c>
      <c r="Q92" s="250" t="s">
        <v>559</v>
      </c>
      <c r="R92" s="250" t="s">
        <v>560</v>
      </c>
      <c r="S92" s="250" t="s">
        <v>561</v>
      </c>
      <c r="T92" s="250" t="s">
        <v>562</v>
      </c>
      <c r="U92" s="250" t="s">
        <v>563</v>
      </c>
      <c r="V92" s="250" t="s">
        <v>564</v>
      </c>
      <c r="W92" s="264">
        <v>0</v>
      </c>
      <c r="X92" s="262">
        <v>0</v>
      </c>
      <c r="Y92" s="118"/>
      <c r="Z92" s="263">
        <v>84</v>
      </c>
      <c r="AA92" s="250" t="s">
        <v>835</v>
      </c>
      <c r="AB92" s="118" t="s">
        <v>292</v>
      </c>
      <c r="AC92" s="250" t="s">
        <v>836</v>
      </c>
      <c r="AD92" s="262">
        <v>1640</v>
      </c>
      <c r="AE92" s="250" t="s">
        <v>816</v>
      </c>
    </row>
    <row r="93" spans="1:31" ht="12.75" customHeight="1">
      <c r="A93" s="142">
        <v>26</v>
      </c>
      <c r="B93" s="143" t="s">
        <v>319</v>
      </c>
      <c r="C93" s="143" t="s">
        <v>292</v>
      </c>
      <c r="D93" s="262">
        <v>14.2</v>
      </c>
      <c r="E93" s="263">
        <v>9.231</v>
      </c>
      <c r="F93" s="262">
        <v>3.94</v>
      </c>
      <c r="G93" s="262">
        <v>13462.39</v>
      </c>
      <c r="H93" s="250" t="s">
        <v>303</v>
      </c>
      <c r="I93" s="250" t="s">
        <v>284</v>
      </c>
      <c r="J93" s="143" t="s">
        <v>284</v>
      </c>
      <c r="K93" s="262">
        <v>1304</v>
      </c>
      <c r="L93" s="262">
        <v>0.041</v>
      </c>
      <c r="M93" s="262">
        <v>0.027</v>
      </c>
      <c r="N93" s="263">
        <v>1313.23</v>
      </c>
      <c r="O93" s="250" t="s">
        <v>284</v>
      </c>
      <c r="P93" s="263">
        <v>2</v>
      </c>
      <c r="Q93" s="250" t="s">
        <v>284</v>
      </c>
      <c r="R93" s="250" t="s">
        <v>284</v>
      </c>
      <c r="S93" s="250" t="s">
        <v>284</v>
      </c>
      <c r="T93" s="250" t="s">
        <v>565</v>
      </c>
      <c r="U93" s="250" t="s">
        <v>532</v>
      </c>
      <c r="V93" s="250" t="s">
        <v>566</v>
      </c>
      <c r="W93" s="264">
        <v>0</v>
      </c>
      <c r="X93" s="262">
        <v>0</v>
      </c>
      <c r="Y93" s="118"/>
      <c r="Z93" s="263">
        <v>32</v>
      </c>
      <c r="AA93" s="250" t="s">
        <v>393</v>
      </c>
      <c r="AB93" s="118" t="s">
        <v>292</v>
      </c>
      <c r="AC93" s="250" t="s">
        <v>837</v>
      </c>
      <c r="AD93" s="262">
        <v>77</v>
      </c>
      <c r="AE93" s="250" t="s">
        <v>816</v>
      </c>
    </row>
    <row r="94" spans="1:31" ht="12.75" customHeight="1">
      <c r="A94" s="142">
        <v>29</v>
      </c>
      <c r="B94" s="143" t="s">
        <v>296</v>
      </c>
      <c r="C94" s="143" t="s">
        <v>121</v>
      </c>
      <c r="D94" s="262">
        <v>3.6</v>
      </c>
      <c r="E94" s="263" t="s">
        <v>284</v>
      </c>
      <c r="F94" s="262">
        <v>1</v>
      </c>
      <c r="G94" s="262">
        <v>3413</v>
      </c>
      <c r="H94" s="250" t="s">
        <v>284</v>
      </c>
      <c r="I94" s="250" t="s">
        <v>284</v>
      </c>
      <c r="J94" s="143" t="s">
        <v>284</v>
      </c>
      <c r="K94" s="262" t="s">
        <v>284</v>
      </c>
      <c r="L94" s="262" t="s">
        <v>284</v>
      </c>
      <c r="M94" s="262" t="s">
        <v>284</v>
      </c>
      <c r="N94" s="263" t="s">
        <v>284</v>
      </c>
      <c r="O94" s="250" t="s">
        <v>284</v>
      </c>
      <c r="P94" s="263">
        <v>0</v>
      </c>
      <c r="Q94" s="250" t="s">
        <v>284</v>
      </c>
      <c r="R94" s="250" t="s">
        <v>284</v>
      </c>
      <c r="S94" s="250" t="s">
        <v>284</v>
      </c>
      <c r="T94" s="250" t="s">
        <v>284</v>
      </c>
      <c r="U94" s="250" t="s">
        <v>284</v>
      </c>
      <c r="V94" s="250" t="s">
        <v>284</v>
      </c>
      <c r="W94" s="264">
        <v>0</v>
      </c>
      <c r="X94" s="262">
        <v>0</v>
      </c>
      <c r="Y94" s="118"/>
      <c r="Z94" s="263">
        <v>33</v>
      </c>
      <c r="AA94" s="250" t="s">
        <v>394</v>
      </c>
      <c r="AB94" s="118" t="s">
        <v>292</v>
      </c>
      <c r="AC94" s="250" t="s">
        <v>838</v>
      </c>
      <c r="AD94" s="262">
        <v>609</v>
      </c>
      <c r="AE94" s="250" t="s">
        <v>816</v>
      </c>
    </row>
    <row r="95" spans="1:31" ht="12.75" customHeight="1">
      <c r="A95" s="142">
        <v>30</v>
      </c>
      <c r="B95" s="143" t="s">
        <v>297</v>
      </c>
      <c r="C95" s="143" t="s">
        <v>244</v>
      </c>
      <c r="D95" s="262">
        <v>1000</v>
      </c>
      <c r="E95" s="263">
        <v>0</v>
      </c>
      <c r="F95" s="262">
        <v>277.777777</v>
      </c>
      <c r="G95" s="262">
        <v>948055.52</v>
      </c>
      <c r="H95" s="250" t="s">
        <v>284</v>
      </c>
      <c r="I95" s="250" t="s">
        <v>284</v>
      </c>
      <c r="J95" s="143" t="s">
        <v>284</v>
      </c>
      <c r="K95" s="262" t="s">
        <v>284</v>
      </c>
      <c r="L95" s="262" t="s">
        <v>284</v>
      </c>
      <c r="M95" s="262" t="s">
        <v>284</v>
      </c>
      <c r="N95" s="263" t="s">
        <v>284</v>
      </c>
      <c r="O95" s="250" t="s">
        <v>284</v>
      </c>
      <c r="P95" s="263">
        <v>0</v>
      </c>
      <c r="Q95" s="250" t="s">
        <v>284</v>
      </c>
      <c r="R95" s="250" t="s">
        <v>284</v>
      </c>
      <c r="S95" s="250" t="s">
        <v>284</v>
      </c>
      <c r="T95" s="250" t="s">
        <v>284</v>
      </c>
      <c r="U95" s="250" t="s">
        <v>284</v>
      </c>
      <c r="V95" s="250" t="s">
        <v>284</v>
      </c>
      <c r="W95" s="264">
        <v>0</v>
      </c>
      <c r="X95" s="262">
        <v>0</v>
      </c>
      <c r="Y95" s="118"/>
      <c r="Z95" s="263">
        <v>34</v>
      </c>
      <c r="AA95" s="250" t="s">
        <v>395</v>
      </c>
      <c r="AB95" s="118" t="s">
        <v>292</v>
      </c>
      <c r="AC95" s="250" t="s">
        <v>839</v>
      </c>
      <c r="AD95" s="262">
        <v>725</v>
      </c>
      <c r="AE95" s="250" t="s">
        <v>816</v>
      </c>
    </row>
    <row r="96" spans="1:31" ht="12.75" customHeight="1">
      <c r="A96" s="142">
        <v>31</v>
      </c>
      <c r="B96" s="143" t="s">
        <v>298</v>
      </c>
      <c r="C96" s="143" t="s">
        <v>299</v>
      </c>
      <c r="D96" s="262">
        <v>1.0547902</v>
      </c>
      <c r="E96" s="263">
        <v>0</v>
      </c>
      <c r="F96" s="262">
        <v>0.2929973</v>
      </c>
      <c r="G96" s="262">
        <v>1000</v>
      </c>
      <c r="H96" s="250" t="s">
        <v>284</v>
      </c>
      <c r="I96" s="250" t="s">
        <v>284</v>
      </c>
      <c r="J96" s="143" t="s">
        <v>284</v>
      </c>
      <c r="K96" s="262" t="s">
        <v>284</v>
      </c>
      <c r="L96" s="262" t="s">
        <v>284</v>
      </c>
      <c r="M96" s="262" t="s">
        <v>284</v>
      </c>
      <c r="N96" s="263" t="s">
        <v>284</v>
      </c>
      <c r="O96" s="250" t="s">
        <v>284</v>
      </c>
      <c r="P96" s="263">
        <v>0</v>
      </c>
      <c r="Q96" s="250" t="s">
        <v>284</v>
      </c>
      <c r="R96" s="250" t="s">
        <v>284</v>
      </c>
      <c r="S96" s="250" t="s">
        <v>284</v>
      </c>
      <c r="T96" s="250" t="s">
        <v>284</v>
      </c>
      <c r="U96" s="250" t="s">
        <v>284</v>
      </c>
      <c r="V96" s="250" t="s">
        <v>284</v>
      </c>
      <c r="W96" s="264">
        <v>0</v>
      </c>
      <c r="X96" s="262">
        <v>0</v>
      </c>
      <c r="Y96" s="118"/>
      <c r="Z96" s="263">
        <v>35</v>
      </c>
      <c r="AA96" s="250" t="s">
        <v>396</v>
      </c>
      <c r="AB96" s="118" t="s">
        <v>292</v>
      </c>
      <c r="AC96" s="250" t="s">
        <v>840</v>
      </c>
      <c r="AD96" s="262">
        <v>2310</v>
      </c>
      <c r="AE96" s="250" t="s">
        <v>816</v>
      </c>
    </row>
    <row r="97" spans="1:31" ht="12.75" customHeight="1">
      <c r="A97" s="142">
        <v>36</v>
      </c>
      <c r="B97" s="143" t="s">
        <v>903</v>
      </c>
      <c r="C97" s="143" t="s">
        <v>292</v>
      </c>
      <c r="D97" s="262">
        <v>19.2</v>
      </c>
      <c r="E97" s="263">
        <v>35.966</v>
      </c>
      <c r="F97" s="262">
        <v>5.33</v>
      </c>
      <c r="G97" s="262">
        <v>18202.67</v>
      </c>
      <c r="H97" s="250" t="s">
        <v>303</v>
      </c>
      <c r="I97" s="250" t="s">
        <v>284</v>
      </c>
      <c r="J97" s="143">
        <v>1</v>
      </c>
      <c r="K97" s="262">
        <v>1799</v>
      </c>
      <c r="L97" s="262">
        <v>0.576</v>
      </c>
      <c r="M97" s="262">
        <v>0.077</v>
      </c>
      <c r="N97" s="263">
        <v>1834.97</v>
      </c>
      <c r="O97" s="250" t="s">
        <v>284</v>
      </c>
      <c r="P97" s="263">
        <v>2</v>
      </c>
      <c r="Q97" s="250" t="s">
        <v>567</v>
      </c>
      <c r="R97" s="250" t="s">
        <v>568</v>
      </c>
      <c r="S97" s="250" t="s">
        <v>741</v>
      </c>
      <c r="T97" s="250" t="s">
        <v>562</v>
      </c>
      <c r="U97" s="250" t="s">
        <v>563</v>
      </c>
      <c r="V97" s="250" t="s">
        <v>564</v>
      </c>
      <c r="W97" s="264">
        <v>0</v>
      </c>
      <c r="X97" s="262">
        <v>0</v>
      </c>
      <c r="Y97" s="118"/>
      <c r="Z97" s="263">
        <v>36</v>
      </c>
      <c r="AA97" s="250" t="s">
        <v>397</v>
      </c>
      <c r="AB97" s="118" t="s">
        <v>292</v>
      </c>
      <c r="AC97" s="250" t="s">
        <v>841</v>
      </c>
      <c r="AD97" s="262">
        <v>122</v>
      </c>
      <c r="AE97" s="250" t="s">
        <v>816</v>
      </c>
    </row>
    <row r="98" spans="1:31" ht="12.75" customHeight="1">
      <c r="A98">
        <v>59</v>
      </c>
      <c r="B98" t="s">
        <v>902</v>
      </c>
      <c r="C98" t="s">
        <v>292</v>
      </c>
      <c r="D98" s="118">
        <v>20</v>
      </c>
      <c r="E98" s="118">
        <v>35.966</v>
      </c>
      <c r="F98" s="118">
        <v>5.5555555</v>
      </c>
      <c r="G98" s="118">
        <v>18960.9555555</v>
      </c>
      <c r="H98" s="118" t="s">
        <v>901</v>
      </c>
      <c r="I98" s="118"/>
      <c r="J98">
        <v>1</v>
      </c>
      <c r="K98" s="118">
        <v>1799</v>
      </c>
      <c r="L98" s="118">
        <v>0.576</v>
      </c>
      <c r="M98" s="118">
        <v>0.077</v>
      </c>
      <c r="N98" s="118">
        <v>1834.97</v>
      </c>
      <c r="O98" s="118"/>
      <c r="P98" s="118">
        <v>2</v>
      </c>
      <c r="Q98" s="118"/>
      <c r="R98" s="118"/>
      <c r="S98" s="118"/>
      <c r="T98" s="118"/>
      <c r="U98" s="118"/>
      <c r="V98" s="118"/>
      <c r="W98" s="118">
        <v>0</v>
      </c>
      <c r="X98" s="118">
        <v>0</v>
      </c>
      <c r="Y98" s="118"/>
      <c r="Z98" s="263">
        <v>37</v>
      </c>
      <c r="AA98" s="250" t="s">
        <v>398</v>
      </c>
      <c r="AB98" s="118" t="s">
        <v>292</v>
      </c>
      <c r="AC98" s="250" t="s">
        <v>842</v>
      </c>
      <c r="AD98" s="262">
        <v>595</v>
      </c>
      <c r="AE98" s="250" t="s">
        <v>816</v>
      </c>
    </row>
    <row r="99" spans="1:31" ht="12.75" customHeight="1">
      <c r="A99" s="142">
        <v>37</v>
      </c>
      <c r="B99" s="143" t="s">
        <v>320</v>
      </c>
      <c r="C99" s="143" t="s">
        <v>285</v>
      </c>
      <c r="D99" s="262">
        <v>43.24</v>
      </c>
      <c r="E99" s="263">
        <v>2146.88</v>
      </c>
      <c r="F99" s="262">
        <v>12.01</v>
      </c>
      <c r="G99" s="262">
        <v>40993.92</v>
      </c>
      <c r="H99" s="250" t="s">
        <v>303</v>
      </c>
      <c r="I99" s="250" t="s">
        <v>284</v>
      </c>
      <c r="J99" s="143" t="s">
        <v>284</v>
      </c>
      <c r="K99" s="262">
        <v>2140</v>
      </c>
      <c r="L99" s="262">
        <v>0</v>
      </c>
      <c r="M99" s="262">
        <v>0.0222</v>
      </c>
      <c r="N99" s="263">
        <v>2146.88</v>
      </c>
      <c r="O99" s="250" t="s">
        <v>284</v>
      </c>
      <c r="P99" s="263">
        <v>1</v>
      </c>
      <c r="Q99" s="250" t="s">
        <v>284</v>
      </c>
      <c r="R99" s="250" t="s">
        <v>284</v>
      </c>
      <c r="S99" s="250" t="s">
        <v>284</v>
      </c>
      <c r="T99" s="250" t="s">
        <v>537</v>
      </c>
      <c r="U99" s="250" t="s">
        <v>538</v>
      </c>
      <c r="V99" s="250" t="s">
        <v>539</v>
      </c>
      <c r="W99" s="264">
        <v>0.188</v>
      </c>
      <c r="X99" s="262">
        <v>329.001316</v>
      </c>
      <c r="Y99" s="118"/>
      <c r="Z99" s="263">
        <v>24</v>
      </c>
      <c r="AA99" s="250" t="s">
        <v>385</v>
      </c>
      <c r="AB99" s="118" t="s">
        <v>292</v>
      </c>
      <c r="AC99" s="250" t="s">
        <v>386</v>
      </c>
      <c r="AD99" s="262">
        <v>23900</v>
      </c>
      <c r="AE99" s="250" t="s">
        <v>303</v>
      </c>
    </row>
    <row r="100" spans="1:31" ht="12.75" customHeight="1">
      <c r="A100" s="142">
        <v>39</v>
      </c>
      <c r="B100" s="143" t="s">
        <v>300</v>
      </c>
      <c r="C100" s="143" t="s">
        <v>292</v>
      </c>
      <c r="D100" s="262">
        <v>16.72</v>
      </c>
      <c r="E100" s="263">
        <v>714.9472</v>
      </c>
      <c r="F100" s="262">
        <v>4.644444</v>
      </c>
      <c r="G100" s="262">
        <v>15851.48889</v>
      </c>
      <c r="H100" s="250" t="s">
        <v>569</v>
      </c>
      <c r="I100" s="250" t="s">
        <v>284</v>
      </c>
      <c r="J100" s="143" t="s">
        <v>284</v>
      </c>
      <c r="K100" s="262">
        <v>715.9472</v>
      </c>
      <c r="L100" s="262">
        <v>0</v>
      </c>
      <c r="M100" s="262">
        <v>0</v>
      </c>
      <c r="N100" s="263">
        <v>714.9472</v>
      </c>
      <c r="O100" s="250" t="s">
        <v>284</v>
      </c>
      <c r="P100" s="263">
        <v>1</v>
      </c>
      <c r="Q100" s="250" t="s">
        <v>284</v>
      </c>
      <c r="R100" s="250" t="s">
        <v>284</v>
      </c>
      <c r="S100" s="250" t="s">
        <v>284</v>
      </c>
      <c r="T100" s="250" t="s">
        <v>570</v>
      </c>
      <c r="U100" s="250" t="s">
        <v>284</v>
      </c>
      <c r="V100" s="250" t="s">
        <v>284</v>
      </c>
      <c r="W100" s="264">
        <v>0</v>
      </c>
      <c r="X100" s="262">
        <v>0</v>
      </c>
      <c r="Y100" s="118"/>
      <c r="Z100" s="263">
        <v>8</v>
      </c>
      <c r="AA100" s="250" t="s">
        <v>843</v>
      </c>
      <c r="AB100" s="118" t="s">
        <v>292</v>
      </c>
      <c r="AC100" s="250" t="s">
        <v>362</v>
      </c>
      <c r="AD100" s="262">
        <v>2800</v>
      </c>
      <c r="AE100" s="250" t="s">
        <v>303</v>
      </c>
    </row>
    <row r="101" spans="1:31" ht="12.75" customHeight="1">
      <c r="A101" s="142">
        <v>40</v>
      </c>
      <c r="B101" s="143" t="s">
        <v>321</v>
      </c>
      <c r="C101" s="143" t="s">
        <v>286</v>
      </c>
      <c r="D101" s="262">
        <v>39.16</v>
      </c>
      <c r="E101" s="263">
        <v>2422.36</v>
      </c>
      <c r="F101" s="262">
        <v>10.877777777777776</v>
      </c>
      <c r="G101" s="262">
        <v>37125.85555555555</v>
      </c>
      <c r="H101" s="250" t="s">
        <v>303</v>
      </c>
      <c r="I101" s="250" t="s">
        <v>284</v>
      </c>
      <c r="J101" s="143" t="s">
        <v>284</v>
      </c>
      <c r="K101" s="262">
        <v>2400</v>
      </c>
      <c r="L101" s="262">
        <v>0.12</v>
      </c>
      <c r="M101" s="262">
        <v>0.064</v>
      </c>
      <c r="N101" s="263">
        <v>2422.36</v>
      </c>
      <c r="O101" s="250" t="s">
        <v>284</v>
      </c>
      <c r="P101" s="263">
        <v>1</v>
      </c>
      <c r="Q101" s="250" t="s">
        <v>284</v>
      </c>
      <c r="R101" s="250" t="s">
        <v>284</v>
      </c>
      <c r="S101" s="250" t="s">
        <v>284</v>
      </c>
      <c r="T101" s="250" t="s">
        <v>284</v>
      </c>
      <c r="U101" s="250" t="s">
        <v>284</v>
      </c>
      <c r="V101" s="250" t="s">
        <v>284</v>
      </c>
      <c r="W101" s="264">
        <v>0</v>
      </c>
      <c r="X101" s="262">
        <v>0</v>
      </c>
      <c r="Y101" s="118"/>
      <c r="Z101" s="263">
        <v>9</v>
      </c>
      <c r="AA101" s="250" t="s">
        <v>363</v>
      </c>
      <c r="AB101" s="118" t="s">
        <v>292</v>
      </c>
      <c r="AC101" s="250" t="s">
        <v>364</v>
      </c>
      <c r="AD101" s="262">
        <v>1000</v>
      </c>
      <c r="AE101" s="250" t="s">
        <v>303</v>
      </c>
    </row>
    <row r="102" spans="1:31" ht="12.75" customHeight="1">
      <c r="A102" s="142">
        <v>41</v>
      </c>
      <c r="B102" s="143" t="s">
        <v>1054</v>
      </c>
      <c r="C102" s="143" t="s">
        <v>286</v>
      </c>
      <c r="D102" s="262">
        <v>38.78</v>
      </c>
      <c r="E102" s="263">
        <v>2652.7360000000003</v>
      </c>
      <c r="F102" s="262">
        <v>10.772222222222222</v>
      </c>
      <c r="G102" s="262">
        <v>36765.59444444445</v>
      </c>
      <c r="H102" s="250" t="s">
        <v>571</v>
      </c>
      <c r="I102" s="250" t="s">
        <v>284</v>
      </c>
      <c r="J102" s="143" t="s">
        <v>284</v>
      </c>
      <c r="K102" s="262">
        <v>2643</v>
      </c>
      <c r="L102" s="262">
        <v>0.006</v>
      </c>
      <c r="M102" s="262">
        <v>0.031</v>
      </c>
      <c r="N102" s="263">
        <v>2652.7360000000003</v>
      </c>
      <c r="O102" s="250" t="s">
        <v>284</v>
      </c>
      <c r="P102" s="263">
        <v>1</v>
      </c>
      <c r="Q102" s="250" t="s">
        <v>284</v>
      </c>
      <c r="R102" s="250" t="s">
        <v>284</v>
      </c>
      <c r="S102" s="250" t="s">
        <v>284</v>
      </c>
      <c r="T102" s="250" t="s">
        <v>284</v>
      </c>
      <c r="U102" s="250" t="s">
        <v>284</v>
      </c>
      <c r="V102" s="250" t="s">
        <v>284</v>
      </c>
      <c r="W102" s="264">
        <v>0.107</v>
      </c>
      <c r="X102" s="262">
        <v>283.842752</v>
      </c>
      <c r="Y102" s="118"/>
      <c r="Z102" s="263">
        <v>11</v>
      </c>
      <c r="AA102" s="250" t="s">
        <v>367</v>
      </c>
      <c r="AB102" s="118" t="s">
        <v>292</v>
      </c>
      <c r="AC102" s="250" t="s">
        <v>368</v>
      </c>
      <c r="AD102" s="262">
        <v>300</v>
      </c>
      <c r="AE102" s="250" t="s">
        <v>303</v>
      </c>
    </row>
    <row r="103" spans="1:31" ht="12.75" customHeight="1">
      <c r="A103" s="142">
        <v>45</v>
      </c>
      <c r="B103" s="143" t="s">
        <v>323</v>
      </c>
      <c r="C103" s="143" t="s">
        <v>286</v>
      </c>
      <c r="D103" s="262">
        <v>40.57</v>
      </c>
      <c r="E103" s="263">
        <v>3503.681</v>
      </c>
      <c r="F103" s="262">
        <v>11.269444444444444</v>
      </c>
      <c r="G103" s="262">
        <v>38462.61388888889</v>
      </c>
      <c r="H103" s="250" t="s">
        <v>303</v>
      </c>
      <c r="I103" s="250" t="s">
        <v>284</v>
      </c>
      <c r="J103" s="143" t="s">
        <v>284</v>
      </c>
      <c r="K103" s="262">
        <v>3494</v>
      </c>
      <c r="L103" s="262">
        <v>0.12</v>
      </c>
      <c r="M103" s="262">
        <v>0.0231</v>
      </c>
      <c r="N103" s="263">
        <v>3503.681</v>
      </c>
      <c r="O103" s="250" t="s">
        <v>284</v>
      </c>
      <c r="P103" s="263">
        <v>1</v>
      </c>
      <c r="Q103" s="250" t="s">
        <v>284</v>
      </c>
      <c r="R103" s="250" t="s">
        <v>284</v>
      </c>
      <c r="S103" s="250" t="s">
        <v>284</v>
      </c>
      <c r="T103" s="250" t="s">
        <v>284</v>
      </c>
      <c r="U103" s="250" t="s">
        <v>284</v>
      </c>
      <c r="V103" s="250" t="s">
        <v>284</v>
      </c>
      <c r="W103" s="264">
        <v>0.08</v>
      </c>
      <c r="X103" s="262">
        <v>280.29448</v>
      </c>
      <c r="Y103" s="118"/>
      <c r="Z103" s="263">
        <v>12</v>
      </c>
      <c r="AA103" s="250" t="s">
        <v>369</v>
      </c>
      <c r="AB103" s="118" t="s">
        <v>292</v>
      </c>
      <c r="AC103" s="250" t="s">
        <v>368</v>
      </c>
      <c r="AD103" s="262">
        <v>3800</v>
      </c>
      <c r="AE103" s="250" t="s">
        <v>303</v>
      </c>
    </row>
    <row r="104" spans="1:31" ht="12.75" customHeight="1">
      <c r="A104" s="142">
        <v>46</v>
      </c>
      <c r="B104" s="143" t="s">
        <v>324</v>
      </c>
      <c r="C104" s="143" t="s">
        <v>286</v>
      </c>
      <c r="D104" s="262">
        <v>23.41</v>
      </c>
      <c r="E104" s="263">
        <v>1519</v>
      </c>
      <c r="F104" s="262">
        <v>6.502777777777777</v>
      </c>
      <c r="G104" s="262">
        <v>22193.980555555554</v>
      </c>
      <c r="H104" s="250" t="s">
        <v>303</v>
      </c>
      <c r="I104" s="250" t="s">
        <v>284</v>
      </c>
      <c r="J104" s="143" t="s">
        <v>284</v>
      </c>
      <c r="K104" s="262">
        <v>1519</v>
      </c>
      <c r="L104" s="262">
        <v>0</v>
      </c>
      <c r="M104" s="262">
        <v>0</v>
      </c>
      <c r="N104" s="263">
        <v>1519</v>
      </c>
      <c r="O104" s="250" t="s">
        <v>284</v>
      </c>
      <c r="P104" s="263">
        <v>2</v>
      </c>
      <c r="Q104" s="250" t="s">
        <v>284</v>
      </c>
      <c r="R104" s="250" t="s">
        <v>284</v>
      </c>
      <c r="S104" s="250" t="s">
        <v>284</v>
      </c>
      <c r="T104" s="250" t="s">
        <v>284</v>
      </c>
      <c r="U104" s="250" t="s">
        <v>284</v>
      </c>
      <c r="V104" s="250" t="s">
        <v>284</v>
      </c>
      <c r="W104" s="264">
        <v>0</v>
      </c>
      <c r="X104" s="262">
        <v>0</v>
      </c>
      <c r="Y104" s="118"/>
      <c r="Z104" s="263">
        <v>13</v>
      </c>
      <c r="AA104" s="250" t="s">
        <v>370</v>
      </c>
      <c r="AB104" s="118" t="s">
        <v>292</v>
      </c>
      <c r="AC104" s="250" t="s">
        <v>371</v>
      </c>
      <c r="AD104" s="262">
        <v>140</v>
      </c>
      <c r="AE104" s="250" t="s">
        <v>303</v>
      </c>
    </row>
    <row r="105" spans="1:31" ht="12.75" customHeight="1">
      <c r="A105" s="142">
        <v>47</v>
      </c>
      <c r="B105" s="143" t="s">
        <v>325</v>
      </c>
      <c r="C105" s="143" t="s">
        <v>286</v>
      </c>
      <c r="D105" s="262">
        <v>35.67</v>
      </c>
      <c r="E105" s="263">
        <v>0</v>
      </c>
      <c r="F105" s="262">
        <v>9.908333333333333</v>
      </c>
      <c r="G105" s="262">
        <v>33817.14166666666</v>
      </c>
      <c r="H105" s="250" t="s">
        <v>303</v>
      </c>
      <c r="I105" s="250" t="s">
        <v>284</v>
      </c>
      <c r="J105" s="143" t="s">
        <v>284</v>
      </c>
      <c r="K105" s="262">
        <v>2497</v>
      </c>
      <c r="L105" s="262">
        <v>0</v>
      </c>
      <c r="M105" s="262">
        <v>0</v>
      </c>
      <c r="N105" s="263">
        <v>2497</v>
      </c>
      <c r="O105" s="250" t="s">
        <v>284</v>
      </c>
      <c r="P105" s="263">
        <v>2</v>
      </c>
      <c r="Q105" s="250" t="s">
        <v>284</v>
      </c>
      <c r="R105" s="250" t="s">
        <v>284</v>
      </c>
      <c r="S105" s="250" t="s">
        <v>284</v>
      </c>
      <c r="T105" s="250" t="s">
        <v>284</v>
      </c>
      <c r="U105" s="250" t="s">
        <v>284</v>
      </c>
      <c r="V105" s="250" t="s">
        <v>284</v>
      </c>
      <c r="W105" s="264">
        <v>0</v>
      </c>
      <c r="X105" s="262">
        <v>0</v>
      </c>
      <c r="Y105" s="118"/>
      <c r="Z105" s="263">
        <v>77</v>
      </c>
      <c r="AA105" s="250" t="s">
        <v>433</v>
      </c>
      <c r="AB105" s="118" t="s">
        <v>292</v>
      </c>
      <c r="AC105" s="250" t="s">
        <v>844</v>
      </c>
      <c r="AD105" s="262">
        <v>12</v>
      </c>
      <c r="AE105" s="250" t="s">
        <v>303</v>
      </c>
    </row>
    <row r="106" spans="1:31" ht="12.75" customHeight="1">
      <c r="A106" s="142">
        <v>48</v>
      </c>
      <c r="B106" s="143" t="s">
        <v>326</v>
      </c>
      <c r="C106" s="143" t="s">
        <v>286</v>
      </c>
      <c r="D106" s="262">
        <v>34.84</v>
      </c>
      <c r="E106" s="263">
        <v>0</v>
      </c>
      <c r="F106" s="262">
        <v>9.677777777777779</v>
      </c>
      <c r="G106" s="262">
        <v>33030.25555555556</v>
      </c>
      <c r="H106" s="250" t="s">
        <v>303</v>
      </c>
      <c r="I106" s="250" t="s">
        <v>284</v>
      </c>
      <c r="J106" s="143" t="s">
        <v>284</v>
      </c>
      <c r="K106" s="262">
        <v>2348</v>
      </c>
      <c r="L106" s="262">
        <v>0</v>
      </c>
      <c r="M106" s="262">
        <v>0</v>
      </c>
      <c r="N106" s="263">
        <v>2348</v>
      </c>
      <c r="O106" s="250" t="s">
        <v>284</v>
      </c>
      <c r="P106" s="263">
        <v>2</v>
      </c>
      <c r="Q106" s="250" t="s">
        <v>284</v>
      </c>
      <c r="R106" s="250" t="s">
        <v>284</v>
      </c>
      <c r="S106" s="250" t="s">
        <v>284</v>
      </c>
      <c r="T106" s="250" t="s">
        <v>284</v>
      </c>
      <c r="U106" s="250" t="s">
        <v>284</v>
      </c>
      <c r="V106" s="250" t="s">
        <v>284</v>
      </c>
      <c r="W106" s="264">
        <v>0</v>
      </c>
      <c r="X106" s="262">
        <v>0</v>
      </c>
      <c r="Y106" s="118"/>
      <c r="Z106" s="263">
        <v>14</v>
      </c>
      <c r="AA106" s="250" t="s">
        <v>372</v>
      </c>
      <c r="AB106" s="118" t="s">
        <v>292</v>
      </c>
      <c r="AC106" s="250" t="s">
        <v>373</v>
      </c>
      <c r="AD106" s="262">
        <v>2900</v>
      </c>
      <c r="AE106" s="250" t="s">
        <v>303</v>
      </c>
    </row>
    <row r="107" spans="1:31" ht="12.75" customHeight="1">
      <c r="A107" s="142">
        <v>49</v>
      </c>
      <c r="B107" s="143" t="s">
        <v>327</v>
      </c>
      <c r="C107" s="143" t="s">
        <v>286</v>
      </c>
      <c r="D107" s="262">
        <v>33.44</v>
      </c>
      <c r="E107" s="263">
        <v>0</v>
      </c>
      <c r="F107" s="262">
        <v>9.288888888888888</v>
      </c>
      <c r="G107" s="262">
        <v>31702.977777777774</v>
      </c>
      <c r="H107" s="250" t="s">
        <v>303</v>
      </c>
      <c r="I107" s="250" t="s">
        <v>284</v>
      </c>
      <c r="J107" s="143" t="s">
        <v>284</v>
      </c>
      <c r="K107" s="262">
        <v>2585</v>
      </c>
      <c r="L107" s="262">
        <v>0</v>
      </c>
      <c r="M107" s="262">
        <v>0</v>
      </c>
      <c r="N107" s="263">
        <v>2585</v>
      </c>
      <c r="O107" s="250" t="s">
        <v>284</v>
      </c>
      <c r="P107" s="263">
        <v>2</v>
      </c>
      <c r="Q107" s="250" t="s">
        <v>284</v>
      </c>
      <c r="R107" s="250" t="s">
        <v>284</v>
      </c>
      <c r="S107" s="250" t="s">
        <v>284</v>
      </c>
      <c r="T107" s="250" t="s">
        <v>284</v>
      </c>
      <c r="U107" s="250" t="s">
        <v>284</v>
      </c>
      <c r="V107" s="250" t="s">
        <v>284</v>
      </c>
      <c r="W107" s="264">
        <v>0</v>
      </c>
      <c r="X107" s="262">
        <v>0</v>
      </c>
      <c r="Y107" s="118"/>
      <c r="Z107" s="263">
        <v>4</v>
      </c>
      <c r="AA107" s="250" t="s">
        <v>352</v>
      </c>
      <c r="AB107" s="118" t="s">
        <v>292</v>
      </c>
      <c r="AC107" s="250" t="s">
        <v>355</v>
      </c>
      <c r="AD107" s="262">
        <v>11700</v>
      </c>
      <c r="AE107" s="250" t="s">
        <v>303</v>
      </c>
    </row>
    <row r="108" spans="1:31" ht="12.75" customHeight="1">
      <c r="A108" s="142">
        <v>50</v>
      </c>
      <c r="B108" s="143" t="s">
        <v>328</v>
      </c>
      <c r="C108" s="143" t="s">
        <v>292</v>
      </c>
      <c r="D108" s="262">
        <v>29.82</v>
      </c>
      <c r="E108" s="263">
        <v>2346.83</v>
      </c>
      <c r="F108" s="262">
        <v>8.283333333333333</v>
      </c>
      <c r="G108" s="262">
        <v>28271.016666666666</v>
      </c>
      <c r="H108" s="250" t="s">
        <v>572</v>
      </c>
      <c r="I108" s="250" t="s">
        <v>284</v>
      </c>
      <c r="J108" s="143" t="s">
        <v>284</v>
      </c>
      <c r="K108" s="262">
        <v>2340</v>
      </c>
      <c r="L108" s="262">
        <v>0.03</v>
      </c>
      <c r="M108" s="262">
        <v>0.02</v>
      </c>
      <c r="N108" s="263">
        <v>2346.83</v>
      </c>
      <c r="O108" s="250" t="s">
        <v>284</v>
      </c>
      <c r="P108" s="263">
        <v>1</v>
      </c>
      <c r="Q108" s="250" t="s">
        <v>284</v>
      </c>
      <c r="R108" s="250" t="s">
        <v>284</v>
      </c>
      <c r="S108" s="250" t="s">
        <v>284</v>
      </c>
      <c r="T108" s="250" t="s">
        <v>284</v>
      </c>
      <c r="U108" s="250" t="s">
        <v>284</v>
      </c>
      <c r="V108" s="250" t="s">
        <v>284</v>
      </c>
      <c r="W108" s="264">
        <v>0.08</v>
      </c>
      <c r="X108" s="262">
        <v>187.7464</v>
      </c>
      <c r="Y108" s="118"/>
      <c r="Z108" s="263">
        <v>78</v>
      </c>
      <c r="AA108" s="250" t="s">
        <v>434</v>
      </c>
      <c r="AB108" s="118" t="s">
        <v>292</v>
      </c>
      <c r="AC108" s="250" t="s">
        <v>375</v>
      </c>
      <c r="AD108" s="262">
        <v>1300</v>
      </c>
      <c r="AE108" s="250" t="s">
        <v>303</v>
      </c>
    </row>
    <row r="109" spans="1:31" ht="12.75" customHeight="1">
      <c r="A109" s="142">
        <v>51</v>
      </c>
      <c r="B109" s="143" t="s">
        <v>329</v>
      </c>
      <c r="C109" s="143" t="s">
        <v>292</v>
      </c>
      <c r="D109" s="262">
        <v>11.57</v>
      </c>
      <c r="E109" s="263">
        <v>21.6421</v>
      </c>
      <c r="F109" s="262">
        <v>3.213888888888889</v>
      </c>
      <c r="G109" s="262">
        <v>10969.002777777778</v>
      </c>
      <c r="H109" s="250" t="s">
        <v>330</v>
      </c>
      <c r="I109" s="250" t="s">
        <v>284</v>
      </c>
      <c r="J109" s="143" t="s">
        <v>284</v>
      </c>
      <c r="K109" s="262">
        <v>990.392</v>
      </c>
      <c r="L109" s="262">
        <v>0.3471</v>
      </c>
      <c r="M109" s="262">
        <v>0.04628</v>
      </c>
      <c r="N109" s="263">
        <v>1012.034</v>
      </c>
      <c r="O109" s="250" t="s">
        <v>284</v>
      </c>
      <c r="P109" s="263">
        <v>2</v>
      </c>
      <c r="Q109" s="250" t="s">
        <v>284</v>
      </c>
      <c r="R109" s="250" t="s">
        <v>284</v>
      </c>
      <c r="S109" s="250" t="s">
        <v>284</v>
      </c>
      <c r="T109" s="250" t="s">
        <v>284</v>
      </c>
      <c r="U109" s="250" t="s">
        <v>284</v>
      </c>
      <c r="V109" s="250" t="s">
        <v>284</v>
      </c>
      <c r="W109" s="264">
        <v>0</v>
      </c>
      <c r="X109" s="262">
        <v>0</v>
      </c>
      <c r="Y109" s="118"/>
      <c r="Z109" s="263">
        <v>79</v>
      </c>
      <c r="AA109" s="250" t="s">
        <v>435</v>
      </c>
      <c r="AB109" s="118" t="s">
        <v>292</v>
      </c>
      <c r="AC109" s="250" t="s">
        <v>375</v>
      </c>
      <c r="AD109" s="262">
        <v>1200</v>
      </c>
      <c r="AE109" s="250" t="s">
        <v>303</v>
      </c>
    </row>
    <row r="110" spans="1:31" ht="12.75" customHeight="1">
      <c r="A110" s="142">
        <v>52</v>
      </c>
      <c r="B110" s="143" t="s">
        <v>331</v>
      </c>
      <c r="C110" s="143" t="s">
        <v>292</v>
      </c>
      <c r="D110" s="262">
        <v>9.3</v>
      </c>
      <c r="E110" s="263">
        <v>4.5198</v>
      </c>
      <c r="F110" s="262">
        <v>2.5833333333333335</v>
      </c>
      <c r="G110" s="262">
        <v>8816.916666666668</v>
      </c>
      <c r="H110" s="250" t="s">
        <v>332</v>
      </c>
      <c r="I110" s="250" t="s">
        <v>284</v>
      </c>
      <c r="J110" s="143">
        <v>1</v>
      </c>
      <c r="K110" s="262">
        <v>957.9</v>
      </c>
      <c r="L110" s="262">
        <v>0.009</v>
      </c>
      <c r="M110" s="262">
        <v>0.01395</v>
      </c>
      <c r="N110" s="263">
        <v>962.4198</v>
      </c>
      <c r="O110" s="250" t="s">
        <v>284</v>
      </c>
      <c r="P110" s="263">
        <v>2</v>
      </c>
      <c r="Q110" s="250" t="s">
        <v>284</v>
      </c>
      <c r="R110" s="250" t="s">
        <v>284</v>
      </c>
      <c r="S110" s="250" t="s">
        <v>284</v>
      </c>
      <c r="T110" s="250" t="s">
        <v>284</v>
      </c>
      <c r="U110" s="250" t="s">
        <v>284</v>
      </c>
      <c r="V110" s="250" t="s">
        <v>284</v>
      </c>
      <c r="W110" s="264">
        <v>0</v>
      </c>
      <c r="X110" s="262">
        <v>0</v>
      </c>
      <c r="Y110" s="118"/>
      <c r="Z110" s="263">
        <v>15</v>
      </c>
      <c r="AA110" s="250" t="s">
        <v>374</v>
      </c>
      <c r="AB110" s="118" t="s">
        <v>292</v>
      </c>
      <c r="AC110" s="250" t="s">
        <v>375</v>
      </c>
      <c r="AD110" s="262">
        <v>6300</v>
      </c>
      <c r="AE110" s="250" t="s">
        <v>303</v>
      </c>
    </row>
    <row r="111" spans="1:31" ht="12.75" customHeight="1">
      <c r="A111" s="142">
        <v>53</v>
      </c>
      <c r="B111" s="143" t="s">
        <v>333</v>
      </c>
      <c r="C111" s="143" t="s">
        <v>292</v>
      </c>
      <c r="D111" s="262">
        <v>31.18</v>
      </c>
      <c r="E111" s="263">
        <v>2650</v>
      </c>
      <c r="F111" s="262">
        <v>8.661111111111111</v>
      </c>
      <c r="G111" s="262">
        <v>29560.372222222224</v>
      </c>
      <c r="H111" s="250" t="s">
        <v>303</v>
      </c>
      <c r="I111" s="250" t="s">
        <v>284</v>
      </c>
      <c r="J111" s="143" t="s">
        <v>284</v>
      </c>
      <c r="K111" s="262">
        <v>2650</v>
      </c>
      <c r="L111" s="262">
        <v>0</v>
      </c>
      <c r="M111" s="262">
        <v>0</v>
      </c>
      <c r="N111" s="263">
        <v>2650</v>
      </c>
      <c r="O111" s="250" t="s">
        <v>284</v>
      </c>
      <c r="P111" s="263">
        <v>1</v>
      </c>
      <c r="Q111" s="250" t="s">
        <v>284</v>
      </c>
      <c r="R111" s="250" t="s">
        <v>284</v>
      </c>
      <c r="S111" s="250" t="s">
        <v>284</v>
      </c>
      <c r="T111" s="250" t="s">
        <v>284</v>
      </c>
      <c r="U111" s="250" t="s">
        <v>284</v>
      </c>
      <c r="V111" s="250" t="s">
        <v>284</v>
      </c>
      <c r="W111" s="264">
        <v>0</v>
      </c>
      <c r="X111" s="262">
        <v>0</v>
      </c>
      <c r="Y111" s="118"/>
      <c r="Z111" s="263">
        <v>16</v>
      </c>
      <c r="AA111" s="250" t="s">
        <v>376</v>
      </c>
      <c r="AB111" s="118" t="s">
        <v>292</v>
      </c>
      <c r="AC111" s="250" t="s">
        <v>377</v>
      </c>
      <c r="AD111" s="262">
        <v>560</v>
      </c>
      <c r="AE111" s="250" t="s">
        <v>303</v>
      </c>
    </row>
    <row r="112" spans="1:31" ht="12.75" customHeight="1">
      <c r="A112" s="142">
        <v>54</v>
      </c>
      <c r="B112" s="143" t="s">
        <v>334</v>
      </c>
      <c r="C112" s="143" t="s">
        <v>292</v>
      </c>
      <c r="D112" s="262">
        <v>9.59</v>
      </c>
      <c r="E112" s="263">
        <v>0</v>
      </c>
      <c r="F112" s="262">
        <v>2.6638888888888888</v>
      </c>
      <c r="G112" s="262">
        <v>9091.852777777778</v>
      </c>
      <c r="H112" s="250" t="s">
        <v>303</v>
      </c>
      <c r="I112" s="250" t="s">
        <v>284</v>
      </c>
      <c r="J112" s="143">
        <v>1</v>
      </c>
      <c r="K112" s="262">
        <v>1074</v>
      </c>
      <c r="L112" s="262">
        <v>0</v>
      </c>
      <c r="M112" s="262">
        <v>0</v>
      </c>
      <c r="N112" s="263">
        <v>1074</v>
      </c>
      <c r="O112" s="250" t="s">
        <v>284</v>
      </c>
      <c r="P112" s="263">
        <v>2</v>
      </c>
      <c r="Q112" s="250" t="s">
        <v>284</v>
      </c>
      <c r="R112" s="250" t="s">
        <v>284</v>
      </c>
      <c r="S112" s="250" t="s">
        <v>284</v>
      </c>
      <c r="T112" s="250" t="s">
        <v>284</v>
      </c>
      <c r="U112" s="250" t="s">
        <v>284</v>
      </c>
      <c r="V112" s="250" t="s">
        <v>284</v>
      </c>
      <c r="W112" s="264">
        <v>0</v>
      </c>
      <c r="X112" s="262">
        <v>0</v>
      </c>
      <c r="Y112" s="118"/>
      <c r="Z112" s="263">
        <v>80</v>
      </c>
      <c r="AA112" s="250" t="s">
        <v>436</v>
      </c>
      <c r="AB112" s="118" t="s">
        <v>292</v>
      </c>
      <c r="AC112" s="250" t="s">
        <v>377</v>
      </c>
      <c r="AD112" s="262">
        <v>950</v>
      </c>
      <c r="AE112" s="250" t="s">
        <v>303</v>
      </c>
    </row>
    <row r="113" spans="1:31" ht="12.75" customHeight="1">
      <c r="A113" s="142">
        <v>55</v>
      </c>
      <c r="B113" s="143" t="s">
        <v>343</v>
      </c>
      <c r="C113" s="143" t="s">
        <v>292</v>
      </c>
      <c r="D113" s="262">
        <v>30.03</v>
      </c>
      <c r="E113" s="263">
        <v>0</v>
      </c>
      <c r="F113" s="262">
        <v>8.416666666666666</v>
      </c>
      <c r="G113" s="262">
        <v>28726.083333333332</v>
      </c>
      <c r="H113" s="250" t="s">
        <v>303</v>
      </c>
      <c r="I113" s="250" t="s">
        <v>284</v>
      </c>
      <c r="J113" s="143">
        <v>1</v>
      </c>
      <c r="K113" s="262">
        <v>3000</v>
      </c>
      <c r="L113" s="262">
        <v>0</v>
      </c>
      <c r="M113" s="262">
        <v>0</v>
      </c>
      <c r="N113" s="263">
        <v>3000</v>
      </c>
      <c r="O113" s="250" t="s">
        <v>284</v>
      </c>
      <c r="P113" s="263">
        <v>2</v>
      </c>
      <c r="Q113" s="250" t="s">
        <v>284</v>
      </c>
      <c r="R113" s="250" t="s">
        <v>284</v>
      </c>
      <c r="S113" s="250" t="s">
        <v>284</v>
      </c>
      <c r="T113" s="250" t="s">
        <v>284</v>
      </c>
      <c r="U113" s="250" t="s">
        <v>284</v>
      </c>
      <c r="V113" s="250" t="s">
        <v>284</v>
      </c>
      <c r="W113" s="264">
        <v>0</v>
      </c>
      <c r="X113" s="262">
        <v>0</v>
      </c>
      <c r="Y113" s="118"/>
      <c r="Z113" s="263">
        <v>118</v>
      </c>
      <c r="AA113" s="250" t="s">
        <v>436</v>
      </c>
      <c r="AB113" s="118" t="s">
        <v>292</v>
      </c>
      <c r="AC113" s="250" t="s">
        <v>845</v>
      </c>
      <c r="AD113" s="262">
        <v>0</v>
      </c>
      <c r="AE113" s="250" t="s">
        <v>284</v>
      </c>
    </row>
    <row r="114" spans="1:31" ht="12.75" customHeight="1">
      <c r="A114" s="142">
        <v>56</v>
      </c>
      <c r="B114" s="143" t="s">
        <v>344</v>
      </c>
      <c r="C114" s="143" t="s">
        <v>285</v>
      </c>
      <c r="D114" s="262">
        <v>19.14</v>
      </c>
      <c r="E114" s="263">
        <v>890.6270000000001</v>
      </c>
      <c r="F114" s="262">
        <v>5.316666666666666</v>
      </c>
      <c r="G114" s="262">
        <v>18145.783333333333</v>
      </c>
      <c r="H114" s="250" t="s">
        <v>303</v>
      </c>
      <c r="I114" s="250" t="s">
        <v>284</v>
      </c>
      <c r="J114" s="143" t="s">
        <v>284</v>
      </c>
      <c r="K114" s="262">
        <v>879</v>
      </c>
      <c r="L114" s="262">
        <v>0.037</v>
      </c>
      <c r="M114" s="262">
        <v>0.035</v>
      </c>
      <c r="N114" s="263">
        <v>890.6270000000001</v>
      </c>
      <c r="O114" s="250" t="s">
        <v>284</v>
      </c>
      <c r="P114" s="263">
        <v>1</v>
      </c>
      <c r="Q114" s="250" t="s">
        <v>284</v>
      </c>
      <c r="R114" s="250" t="s">
        <v>284</v>
      </c>
      <c r="S114" s="250" t="s">
        <v>284</v>
      </c>
      <c r="T114" s="250" t="s">
        <v>284</v>
      </c>
      <c r="U114" s="250" t="s">
        <v>284</v>
      </c>
      <c r="V114" s="250" t="s">
        <v>284</v>
      </c>
      <c r="W114" s="264">
        <v>0.188</v>
      </c>
      <c r="X114" s="262">
        <v>167.437876</v>
      </c>
      <c r="Y114" s="118"/>
      <c r="Z114" s="263">
        <v>5</v>
      </c>
      <c r="AA114" s="250" t="s">
        <v>356</v>
      </c>
      <c r="AB114" s="118" t="s">
        <v>292</v>
      </c>
      <c r="AC114" s="250" t="s">
        <v>357</v>
      </c>
      <c r="AD114" s="262">
        <v>650</v>
      </c>
      <c r="AE114" s="250" t="s">
        <v>303</v>
      </c>
    </row>
    <row r="115" spans="1:31" ht="12.75" customHeight="1">
      <c r="A115" s="142">
        <v>57</v>
      </c>
      <c r="B115" s="143" t="s">
        <v>345</v>
      </c>
      <c r="C115" s="143" t="s">
        <v>285</v>
      </c>
      <c r="D115" s="262">
        <v>38.32</v>
      </c>
      <c r="E115" s="263">
        <v>11.317</v>
      </c>
      <c r="F115" s="262">
        <v>10.64</v>
      </c>
      <c r="G115" s="262">
        <v>36361.42</v>
      </c>
      <c r="H115" s="250" t="s">
        <v>303</v>
      </c>
      <c r="I115" s="250" t="s">
        <v>284</v>
      </c>
      <c r="J115" s="143">
        <v>1</v>
      </c>
      <c r="K115" s="262">
        <v>1878</v>
      </c>
      <c r="L115" s="262">
        <v>0.037</v>
      </c>
      <c r="M115" s="262">
        <v>0.034</v>
      </c>
      <c r="N115" s="263">
        <v>1889.32</v>
      </c>
      <c r="O115" s="250" t="s">
        <v>284</v>
      </c>
      <c r="P115" s="263">
        <v>2</v>
      </c>
      <c r="Q115" s="250" t="s">
        <v>284</v>
      </c>
      <c r="R115" s="250" t="s">
        <v>284</v>
      </c>
      <c r="S115" s="250" t="s">
        <v>284</v>
      </c>
      <c r="T115" s="250" t="s">
        <v>284</v>
      </c>
      <c r="U115" s="250" t="s">
        <v>284</v>
      </c>
      <c r="V115" s="250" t="s">
        <v>284</v>
      </c>
      <c r="W115" s="264">
        <v>0</v>
      </c>
      <c r="X115" s="262">
        <v>0</v>
      </c>
      <c r="Y115" s="118"/>
      <c r="Z115" s="263">
        <v>119</v>
      </c>
      <c r="AA115" s="250" t="s">
        <v>437</v>
      </c>
      <c r="AB115" s="118" t="s">
        <v>292</v>
      </c>
      <c r="AC115" s="250" t="s">
        <v>284</v>
      </c>
      <c r="AD115" s="262">
        <v>0</v>
      </c>
      <c r="AE115" s="250" t="s">
        <v>284</v>
      </c>
    </row>
    <row r="116" spans="1:31" ht="12.75" customHeight="1">
      <c r="A116" s="142">
        <v>58</v>
      </c>
      <c r="B116" s="143" t="s">
        <v>346</v>
      </c>
      <c r="C116" s="143" t="s">
        <v>285</v>
      </c>
      <c r="D116" s="262">
        <v>38.32</v>
      </c>
      <c r="E116" s="263">
        <v>11.317</v>
      </c>
      <c r="F116" s="262">
        <v>10.64</v>
      </c>
      <c r="G116" s="262">
        <v>36361.42</v>
      </c>
      <c r="H116" s="250" t="s">
        <v>303</v>
      </c>
      <c r="I116" s="250" t="s">
        <v>284</v>
      </c>
      <c r="J116" s="143">
        <v>1</v>
      </c>
      <c r="K116" s="262">
        <v>1878</v>
      </c>
      <c r="L116" s="262">
        <v>0.037</v>
      </c>
      <c r="M116" s="262">
        <v>0.034</v>
      </c>
      <c r="N116" s="263">
        <v>1889.32</v>
      </c>
      <c r="O116" s="250" t="s">
        <v>284</v>
      </c>
      <c r="P116" s="263">
        <v>2</v>
      </c>
      <c r="Q116" s="250" t="s">
        <v>284</v>
      </c>
      <c r="R116" s="250" t="s">
        <v>284</v>
      </c>
      <c r="S116" s="250" t="s">
        <v>284</v>
      </c>
      <c r="T116" s="250" t="s">
        <v>284</v>
      </c>
      <c r="U116" s="250" t="s">
        <v>284</v>
      </c>
      <c r="V116" s="250" t="s">
        <v>284</v>
      </c>
      <c r="W116" s="264">
        <v>0</v>
      </c>
      <c r="X116" s="262">
        <v>0</v>
      </c>
      <c r="Y116" s="118"/>
      <c r="Z116" s="263">
        <v>81</v>
      </c>
      <c r="AA116" s="250" t="s">
        <v>437</v>
      </c>
      <c r="AB116" s="118" t="s">
        <v>292</v>
      </c>
      <c r="AC116" s="250" t="s">
        <v>846</v>
      </c>
      <c r="AD116" s="262">
        <v>890</v>
      </c>
      <c r="AE116" s="250" t="s">
        <v>303</v>
      </c>
    </row>
    <row r="117" spans="1:31" ht="12.75" customHeight="1">
      <c r="A117" s="142">
        <v>61</v>
      </c>
      <c r="B117" s="143" t="s">
        <v>930</v>
      </c>
      <c r="C117" s="143" t="s">
        <v>292</v>
      </c>
      <c r="D117" s="262">
        <v>27.6</v>
      </c>
      <c r="E117" s="263">
        <v>35.966</v>
      </c>
      <c r="F117" s="262">
        <v>7.67</v>
      </c>
      <c r="G117" s="262">
        <v>16166.25</v>
      </c>
      <c r="H117" s="250" t="s">
        <v>303</v>
      </c>
      <c r="I117" s="250" t="s">
        <v>284</v>
      </c>
      <c r="J117" s="143">
        <v>1</v>
      </c>
      <c r="K117" s="262">
        <v>3190</v>
      </c>
      <c r="L117" s="262">
        <v>0.576</v>
      </c>
      <c r="M117" s="262">
        <v>0.077</v>
      </c>
      <c r="N117" s="263">
        <v>3225.966</v>
      </c>
      <c r="O117" s="250" t="s">
        <v>284</v>
      </c>
      <c r="P117" s="263">
        <v>1</v>
      </c>
      <c r="Q117" s="250" t="s">
        <v>284</v>
      </c>
      <c r="R117" s="250" t="s">
        <v>284</v>
      </c>
      <c r="S117" s="250" t="s">
        <v>284</v>
      </c>
      <c r="T117" s="250" t="s">
        <v>284</v>
      </c>
      <c r="U117" s="250" t="s">
        <v>284</v>
      </c>
      <c r="V117" s="250" t="s">
        <v>284</v>
      </c>
      <c r="W117" s="264">
        <v>0</v>
      </c>
      <c r="X117" s="262">
        <v>0</v>
      </c>
      <c r="Z117" s="142">
        <v>6</v>
      </c>
      <c r="AA117" s="143" t="s">
        <v>358</v>
      </c>
      <c r="AB117" t="s">
        <v>292</v>
      </c>
      <c r="AC117" s="143" t="s">
        <v>359</v>
      </c>
      <c r="AD117" s="145">
        <v>150</v>
      </c>
      <c r="AE117" s="143" t="s">
        <v>303</v>
      </c>
    </row>
    <row r="118" spans="26:31" ht="12.75" customHeight="1">
      <c r="Z118" s="142">
        <v>7</v>
      </c>
      <c r="AA118" s="143" t="s">
        <v>360</v>
      </c>
      <c r="AB118" t="s">
        <v>292</v>
      </c>
      <c r="AC118" s="143" t="s">
        <v>361</v>
      </c>
      <c r="AD118" s="145">
        <v>1300</v>
      </c>
      <c r="AE118" s="143" t="s">
        <v>303</v>
      </c>
    </row>
    <row r="119" spans="11:31" ht="12.75" customHeight="1">
      <c r="K119" t="s">
        <v>1030</v>
      </c>
      <c r="L119" t="s">
        <v>1031</v>
      </c>
      <c r="M119" t="s">
        <v>1033</v>
      </c>
      <c r="N119" t="s">
        <v>1034</v>
      </c>
      <c r="O119" s="273" t="s">
        <v>1081</v>
      </c>
      <c r="P119" s="273" t="s">
        <v>1081</v>
      </c>
      <c r="Z119" s="142">
        <v>2</v>
      </c>
      <c r="AA119" s="143" t="s">
        <v>847</v>
      </c>
      <c r="AB119" t="s">
        <v>292</v>
      </c>
      <c r="AC119" s="143" t="s">
        <v>270</v>
      </c>
      <c r="AD119" s="145">
        <v>21</v>
      </c>
      <c r="AE119" s="143" t="s">
        <v>303</v>
      </c>
    </row>
    <row r="120" spans="2:31" ht="12.75" customHeight="1">
      <c r="B120" s="143" t="s">
        <v>122</v>
      </c>
      <c r="C120" s="273" t="s">
        <v>1053</v>
      </c>
      <c r="D120" s="144">
        <v>38.5</v>
      </c>
      <c r="E120" s="470">
        <f>2/D120*1000</f>
        <v>51.948051948051955</v>
      </c>
      <c r="F120" s="469">
        <v>0.78</v>
      </c>
      <c r="G120" s="469">
        <f>20000*D120/1000</f>
        <v>770</v>
      </c>
      <c r="H120" s="467" t="s">
        <v>1022</v>
      </c>
      <c r="I120">
        <v>2.6667</v>
      </c>
      <c r="J120" s="468">
        <v>666.67</v>
      </c>
      <c r="K120" s="469">
        <v>1</v>
      </c>
      <c r="L120" s="469">
        <v>0.8</v>
      </c>
      <c r="M120" s="469">
        <v>0.97</v>
      </c>
      <c r="N120" s="470">
        <v>0.8</v>
      </c>
      <c r="O120" s="273" t="s">
        <v>1100</v>
      </c>
      <c r="P120" s="273" t="s">
        <v>1022</v>
      </c>
      <c r="Q120">
        <v>20000</v>
      </c>
      <c r="Z120" s="142">
        <v>120</v>
      </c>
      <c r="AA120" s="143" t="s">
        <v>848</v>
      </c>
      <c r="AB120" t="s">
        <v>292</v>
      </c>
      <c r="AC120" s="143" t="s">
        <v>849</v>
      </c>
      <c r="AD120" s="145">
        <v>0</v>
      </c>
      <c r="AE120" s="143" t="s">
        <v>284</v>
      </c>
    </row>
    <row r="121" spans="2:31" ht="12.75" customHeight="1">
      <c r="B121" s="143" t="s">
        <v>283</v>
      </c>
      <c r="C121" t="s">
        <v>123</v>
      </c>
      <c r="D121" s="144">
        <f>D79</f>
        <v>25.31</v>
      </c>
      <c r="E121" s="470">
        <f>E120</f>
        <v>51.948051948051955</v>
      </c>
      <c r="F121">
        <v>0.78</v>
      </c>
      <c r="G121" s="469">
        <f>G120</f>
        <v>770</v>
      </c>
      <c r="H121" s="467" t="s">
        <v>1023</v>
      </c>
      <c r="I121">
        <v>2.6667</v>
      </c>
      <c r="J121" s="468">
        <v>666.67</v>
      </c>
      <c r="K121" s="469">
        <v>1</v>
      </c>
      <c r="L121">
        <v>0.8</v>
      </c>
      <c r="M121" s="469">
        <v>0.97</v>
      </c>
      <c r="N121" s="470">
        <v>0.8</v>
      </c>
      <c r="O121" s="273" t="s">
        <v>123</v>
      </c>
      <c r="P121" s="273" t="s">
        <v>1023</v>
      </c>
      <c r="Q121" s="273">
        <v>30500</v>
      </c>
      <c r="Z121" s="142">
        <v>3</v>
      </c>
      <c r="AA121" s="143" t="s">
        <v>850</v>
      </c>
      <c r="AB121" t="s">
        <v>292</v>
      </c>
      <c r="AC121" s="143" t="s">
        <v>271</v>
      </c>
      <c r="AD121" s="145">
        <v>310</v>
      </c>
      <c r="AE121" s="143" t="s">
        <v>303</v>
      </c>
    </row>
    <row r="122" spans="3:31" ht="12.75" customHeight="1">
      <c r="C122" s="143" t="s">
        <v>122</v>
      </c>
      <c r="D122" s="144">
        <f>D76</f>
        <v>37.89</v>
      </c>
      <c r="H122" s="467" t="s">
        <v>1024</v>
      </c>
      <c r="I122">
        <v>4.6973</v>
      </c>
      <c r="J122" s="468">
        <v>1290.8</v>
      </c>
      <c r="K122" s="469">
        <v>1</v>
      </c>
      <c r="L122">
        <v>0.8</v>
      </c>
      <c r="M122" s="469">
        <v>1.33</v>
      </c>
      <c r="P122" t="s">
        <v>1024</v>
      </c>
      <c r="Z122" s="142">
        <v>72</v>
      </c>
      <c r="AA122" s="143" t="s">
        <v>430</v>
      </c>
      <c r="AB122" t="s">
        <v>292</v>
      </c>
      <c r="AC122" s="143" t="s">
        <v>851</v>
      </c>
      <c r="AD122" s="145">
        <v>7480</v>
      </c>
      <c r="AE122" s="143" t="s">
        <v>852</v>
      </c>
    </row>
    <row r="123" spans="16:31" ht="12.75" customHeight="1">
      <c r="P123" s="273" t="s">
        <v>1101</v>
      </c>
      <c r="Z123" s="142">
        <v>20</v>
      </c>
      <c r="AA123" s="143" t="s">
        <v>853</v>
      </c>
      <c r="AB123" t="s">
        <v>292</v>
      </c>
      <c r="AC123" s="143" t="s">
        <v>381</v>
      </c>
      <c r="AD123" s="145">
        <v>7000</v>
      </c>
      <c r="AE123" s="143" t="s">
        <v>303</v>
      </c>
    </row>
    <row r="124" spans="26:31" ht="12.75" customHeight="1">
      <c r="Z124" s="142">
        <v>21</v>
      </c>
      <c r="AA124" s="143" t="s">
        <v>854</v>
      </c>
      <c r="AB124" t="s">
        <v>292</v>
      </c>
      <c r="AC124" s="143" t="s">
        <v>382</v>
      </c>
      <c r="AD124" s="145">
        <v>8700</v>
      </c>
      <c r="AE124" s="143" t="s">
        <v>303</v>
      </c>
    </row>
    <row r="125" spans="26:31" ht="12.75" customHeight="1">
      <c r="Z125" s="142">
        <v>18</v>
      </c>
      <c r="AA125" s="143" t="s">
        <v>855</v>
      </c>
      <c r="AB125" t="s">
        <v>292</v>
      </c>
      <c r="AC125" s="143" t="s">
        <v>379</v>
      </c>
      <c r="AD125" s="145">
        <v>9200</v>
      </c>
      <c r="AE125" s="143" t="s">
        <v>303</v>
      </c>
    </row>
    <row r="126" spans="26:31" ht="12.75" customHeight="1">
      <c r="Z126" s="142">
        <v>23</v>
      </c>
      <c r="AA126" s="143" t="s">
        <v>856</v>
      </c>
      <c r="AB126" t="s">
        <v>292</v>
      </c>
      <c r="AC126" s="143" t="s">
        <v>384</v>
      </c>
      <c r="AD126" s="145">
        <v>7400</v>
      </c>
      <c r="AE126" s="143" t="s">
        <v>303</v>
      </c>
    </row>
    <row r="127" spans="26:31" ht="12.75" customHeight="1">
      <c r="Z127" s="142">
        <v>17</v>
      </c>
      <c r="AA127" s="143" t="s">
        <v>857</v>
      </c>
      <c r="AB127" t="s">
        <v>292</v>
      </c>
      <c r="AC127" s="143" t="s">
        <v>378</v>
      </c>
      <c r="AD127" s="145">
        <v>6500</v>
      </c>
      <c r="AE127" s="143" t="s">
        <v>303</v>
      </c>
    </row>
    <row r="128" spans="26:31" ht="12.75" customHeight="1">
      <c r="Z128" s="142">
        <v>22</v>
      </c>
      <c r="AA128" s="143" t="s">
        <v>859</v>
      </c>
      <c r="AB128" t="s">
        <v>292</v>
      </c>
      <c r="AC128" s="143" t="s">
        <v>383</v>
      </c>
      <c r="AD128" s="145">
        <v>7500</v>
      </c>
      <c r="AE128" s="143" t="s">
        <v>303</v>
      </c>
    </row>
    <row r="129" spans="26:31" ht="12.75" customHeight="1">
      <c r="Z129" s="142">
        <v>19</v>
      </c>
      <c r="AA129" s="143" t="s">
        <v>860</v>
      </c>
      <c r="AB129" t="s">
        <v>292</v>
      </c>
      <c r="AC129" s="143" t="s">
        <v>380</v>
      </c>
      <c r="AD129" s="145">
        <v>7000</v>
      </c>
      <c r="AE129" s="143" t="s">
        <v>303</v>
      </c>
    </row>
    <row r="130" spans="26:31" ht="12.75" customHeight="1">
      <c r="Z130" s="142">
        <v>95</v>
      </c>
      <c r="AA130" s="143" t="s">
        <v>861</v>
      </c>
      <c r="AB130" t="s">
        <v>292</v>
      </c>
      <c r="AC130" s="143" t="s">
        <v>862</v>
      </c>
      <c r="AD130" s="145">
        <v>10450</v>
      </c>
      <c r="AE130" s="143" t="s">
        <v>816</v>
      </c>
    </row>
    <row r="131" spans="26:31" ht="12.75" customHeight="1">
      <c r="Z131" s="142">
        <v>40</v>
      </c>
      <c r="AA131" s="143" t="s">
        <v>400</v>
      </c>
      <c r="AB131" t="s">
        <v>292</v>
      </c>
      <c r="AC131" s="143" t="s">
        <v>863</v>
      </c>
      <c r="AD131" s="145">
        <v>1182.48</v>
      </c>
      <c r="AE131" s="143" t="s">
        <v>816</v>
      </c>
    </row>
    <row r="132" spans="26:31" ht="12.75" customHeight="1">
      <c r="Z132" s="142">
        <v>41</v>
      </c>
      <c r="AA132" s="143" t="s">
        <v>401</v>
      </c>
      <c r="AB132" t="s">
        <v>292</v>
      </c>
      <c r="AC132" s="143" t="s">
        <v>864</v>
      </c>
      <c r="AD132" s="145">
        <v>1288.26</v>
      </c>
      <c r="AE132" s="143" t="s">
        <v>816</v>
      </c>
    </row>
    <row r="133" spans="1:31" ht="12.75" customHeight="1">
      <c r="A133" t="s">
        <v>336</v>
      </c>
      <c r="B133" t="s">
        <v>335</v>
      </c>
      <c r="C133" t="s">
        <v>66</v>
      </c>
      <c r="D133" t="s">
        <v>67</v>
      </c>
      <c r="E133" t="s">
        <v>86</v>
      </c>
      <c r="F133" t="s">
        <v>702</v>
      </c>
      <c r="G133" t="s">
        <v>68</v>
      </c>
      <c r="H133" t="s">
        <v>69</v>
      </c>
      <c r="I133" t="s">
        <v>243</v>
      </c>
      <c r="J133" s="167" t="s">
        <v>70</v>
      </c>
      <c r="K133" t="s">
        <v>84</v>
      </c>
      <c r="L133" t="s">
        <v>83</v>
      </c>
      <c r="Z133" s="142">
        <v>42</v>
      </c>
      <c r="AA133" s="143" t="s">
        <v>402</v>
      </c>
      <c r="AB133" t="s">
        <v>292</v>
      </c>
      <c r="AC133" s="143" t="s">
        <v>865</v>
      </c>
      <c r="AD133" s="145">
        <v>934.98</v>
      </c>
      <c r="AE133" s="143" t="s">
        <v>866</v>
      </c>
    </row>
    <row r="134" spans="1:31" ht="12.75" customHeight="1">
      <c r="A134" t="e">
        <f>DQ$2</f>
        <v>#N/A</v>
      </c>
      <c r="B134" t="str">
        <f>IF(B61=TRUE,"8","2")</f>
        <v>2</v>
      </c>
      <c r="C134" t="str">
        <f>IF(B61=TRUE,"81",IF(B57=TRUE,"21",IF(B58=TRUE,"221",IF(B59=TRUE,"23","222"))))</f>
        <v>222</v>
      </c>
      <c r="D134" t="str">
        <f>IF(B61=TRUE,"Recommissioning",IF(B57=TRUE,"Études",IF(B58=TRUE,"Études IP",IF(B59=TRUE,"Études approvisionnement","Études IP préliminaires"))))</f>
        <v>Études IP préliminaires</v>
      </c>
      <c r="E134" t="b">
        <f>DV2</f>
        <v>0</v>
      </c>
      <c r="F134" t="str">
        <f>IF(DP2="Agricole","Agricole",IF(DP2="Transport","Transport","Affaires"))</f>
        <v>Affaires</v>
      </c>
      <c r="G134" s="240" t="e">
        <f>'1. Demande'!#REF!</f>
        <v>#REF!</v>
      </c>
      <c r="H134" s="240" t="e">
        <f>'1. Demande'!#REF!</f>
        <v>#REF!</v>
      </c>
      <c r="I134" s="240" t="e">
        <f>'1. Demande'!#REF!</f>
        <v>#REF!</v>
      </c>
      <c r="J134" s="240" t="e">
        <f>'1. Demande'!#REF!</f>
        <v>#REF!</v>
      </c>
      <c r="K134">
        <v>50</v>
      </c>
      <c r="L134" t="str">
        <f>IF(B61=TRUE,"50.20",IF(B57=TRUE,"50.8",IF(B58=TRUE,"50.9",IF(B59=TRUE,"50.10","50.11"))))</f>
        <v>50.11</v>
      </c>
      <c r="Z134" s="142">
        <v>43</v>
      </c>
      <c r="AA134" s="143" t="s">
        <v>403</v>
      </c>
      <c r="AB134" t="s">
        <v>292</v>
      </c>
      <c r="AC134" s="143" t="s">
        <v>867</v>
      </c>
      <c r="AD134" s="145">
        <v>2826.68</v>
      </c>
      <c r="AE134" s="143" t="s">
        <v>866</v>
      </c>
    </row>
    <row r="135" spans="26:31" ht="12.75" customHeight="1">
      <c r="Z135" s="142">
        <v>44</v>
      </c>
      <c r="AA135" s="143" t="s">
        <v>404</v>
      </c>
      <c r="AB135" t="s">
        <v>292</v>
      </c>
      <c r="AC135" s="143" t="s">
        <v>868</v>
      </c>
      <c r="AD135" s="145">
        <v>2446.88</v>
      </c>
      <c r="AE135" s="143" t="s">
        <v>866</v>
      </c>
    </row>
    <row r="136" spans="26:31" ht="12.75" customHeight="1">
      <c r="Z136" s="142">
        <v>45</v>
      </c>
      <c r="AA136" s="143" t="s">
        <v>405</v>
      </c>
      <c r="AB136" t="s">
        <v>292</v>
      </c>
      <c r="AC136" s="143" t="s">
        <v>869</v>
      </c>
      <c r="AD136" s="145">
        <v>2834.699</v>
      </c>
      <c r="AE136" s="143" t="s">
        <v>303</v>
      </c>
    </row>
    <row r="137" spans="26:31" ht="12.75" customHeight="1">
      <c r="Z137" s="142">
        <v>46</v>
      </c>
      <c r="AA137" s="143" t="s">
        <v>406</v>
      </c>
      <c r="AB137" t="s">
        <v>292</v>
      </c>
      <c r="AC137" s="143" t="s">
        <v>870</v>
      </c>
      <c r="AD137" s="145">
        <v>3820.799</v>
      </c>
      <c r="AE137" s="143" t="s">
        <v>303</v>
      </c>
    </row>
    <row r="138" spans="26:31" ht="12.75" customHeight="1">
      <c r="Z138" s="142">
        <v>48</v>
      </c>
      <c r="AA138" s="143" t="s">
        <v>408</v>
      </c>
      <c r="AB138" t="s">
        <v>292</v>
      </c>
      <c r="AC138" s="143" t="s">
        <v>871</v>
      </c>
      <c r="AD138" s="145">
        <v>4648.85</v>
      </c>
      <c r="AE138" s="143" t="s">
        <v>866</v>
      </c>
    </row>
    <row r="139" spans="26:31" ht="12.75" customHeight="1">
      <c r="Z139" s="142">
        <v>49</v>
      </c>
      <c r="AA139" s="143" t="s">
        <v>409</v>
      </c>
      <c r="AB139" t="s">
        <v>292</v>
      </c>
      <c r="AC139" s="143" t="s">
        <v>872</v>
      </c>
      <c r="AD139" s="145">
        <v>2013.16</v>
      </c>
      <c r="AE139" s="143" t="s">
        <v>866</v>
      </c>
    </row>
    <row r="140" spans="26:31" ht="12.75" customHeight="1">
      <c r="Z140" s="142">
        <v>51</v>
      </c>
      <c r="AA140" s="143" t="s">
        <v>411</v>
      </c>
      <c r="AB140" t="s">
        <v>292</v>
      </c>
      <c r="AC140" s="143" t="s">
        <v>873</v>
      </c>
      <c r="AD140" s="145">
        <v>2285</v>
      </c>
      <c r="AE140" s="143" t="s">
        <v>303</v>
      </c>
    </row>
    <row r="141" spans="26:31" ht="12.75" customHeight="1">
      <c r="Z141" s="142">
        <v>52</v>
      </c>
      <c r="AA141" s="143" t="s">
        <v>412</v>
      </c>
      <c r="AB141" t="s">
        <v>292</v>
      </c>
      <c r="AC141" s="143" t="s">
        <v>874</v>
      </c>
      <c r="AD141" s="145">
        <v>1525.5</v>
      </c>
      <c r="AE141" s="143" t="s">
        <v>303</v>
      </c>
    </row>
    <row r="142" spans="26:31" ht="12.75" customHeight="1">
      <c r="Z142" s="142">
        <v>96</v>
      </c>
      <c r="AA142" s="143" t="s">
        <v>875</v>
      </c>
      <c r="AB142" t="s">
        <v>292</v>
      </c>
      <c r="AC142" s="143" t="s">
        <v>876</v>
      </c>
      <c r="AD142" s="145">
        <v>1427.5</v>
      </c>
      <c r="AE142" s="143" t="s">
        <v>303</v>
      </c>
    </row>
    <row r="143" spans="26:31" ht="12.75" customHeight="1">
      <c r="Z143" s="142">
        <v>97</v>
      </c>
      <c r="AA143" s="143" t="s">
        <v>877</v>
      </c>
      <c r="AB143" t="s">
        <v>292</v>
      </c>
      <c r="AC143" s="143" t="s">
        <v>878</v>
      </c>
      <c r="AD143" s="145">
        <v>1362.5</v>
      </c>
      <c r="AE143" s="143" t="s">
        <v>303</v>
      </c>
    </row>
    <row r="144" spans="26:31" ht="12.75" customHeight="1">
      <c r="Z144" s="142">
        <v>53</v>
      </c>
      <c r="AA144" s="143" t="s">
        <v>413</v>
      </c>
      <c r="AB144" t="s">
        <v>292</v>
      </c>
      <c r="AC144" s="143" t="s">
        <v>879</v>
      </c>
      <c r="AD144" s="145">
        <v>2794.7</v>
      </c>
      <c r="AE144" s="143" t="s">
        <v>866</v>
      </c>
    </row>
    <row r="145" spans="26:31" ht="12.75" customHeight="1">
      <c r="Z145" s="142">
        <v>54</v>
      </c>
      <c r="AA145" s="143" t="s">
        <v>414</v>
      </c>
      <c r="AB145" t="s">
        <v>292</v>
      </c>
      <c r="AC145" s="143" t="s">
        <v>880</v>
      </c>
      <c r="AD145" s="145">
        <v>1584.75</v>
      </c>
      <c r="AE145" s="143" t="s">
        <v>816</v>
      </c>
    </row>
    <row r="146" spans="26:31" ht="12.75" customHeight="1">
      <c r="Z146" s="142">
        <v>98</v>
      </c>
      <c r="AA146" s="143" t="s">
        <v>881</v>
      </c>
      <c r="AB146" t="s">
        <v>292</v>
      </c>
      <c r="AC146" s="143" t="s">
        <v>882</v>
      </c>
      <c r="AD146" s="145">
        <v>1559.75</v>
      </c>
      <c r="AE146" s="143" t="s">
        <v>816</v>
      </c>
    </row>
    <row r="147" spans="26:31" ht="12.75" customHeight="1">
      <c r="Z147" s="142">
        <v>55</v>
      </c>
      <c r="AA147" s="143" t="s">
        <v>415</v>
      </c>
      <c r="AB147" t="s">
        <v>292</v>
      </c>
      <c r="AC147" s="143" t="s">
        <v>883</v>
      </c>
      <c r="AD147" s="145">
        <v>1725</v>
      </c>
      <c r="AE147" s="143" t="s">
        <v>303</v>
      </c>
    </row>
    <row r="148" spans="26:31" ht="12.75" customHeight="1">
      <c r="Z148" s="142">
        <v>56</v>
      </c>
      <c r="AA148" s="143" t="s">
        <v>416</v>
      </c>
      <c r="AB148" t="s">
        <v>292</v>
      </c>
      <c r="AC148" s="143" t="s">
        <v>884</v>
      </c>
      <c r="AD148" s="145">
        <v>1617.5</v>
      </c>
      <c r="AE148" s="143" t="s">
        <v>303</v>
      </c>
    </row>
    <row r="149" spans="1:31" ht="12.75" customHeight="1">
      <c r="A149" t="s">
        <v>336</v>
      </c>
      <c r="B149" t="s">
        <v>795</v>
      </c>
      <c r="C149" t="s">
        <v>789</v>
      </c>
      <c r="D149" t="s">
        <v>793</v>
      </c>
      <c r="E149" t="s">
        <v>794</v>
      </c>
      <c r="F149" t="s">
        <v>479</v>
      </c>
      <c r="G149" t="s">
        <v>788</v>
      </c>
      <c r="Z149" s="142">
        <v>57</v>
      </c>
      <c r="AA149" s="143" t="s">
        <v>417</v>
      </c>
      <c r="AB149" t="s">
        <v>292</v>
      </c>
      <c r="AC149" s="143" t="s">
        <v>887</v>
      </c>
      <c r="AD149" s="145">
        <v>1623.52</v>
      </c>
      <c r="AE149" s="143" t="s">
        <v>888</v>
      </c>
    </row>
    <row r="150" spans="1:31" ht="12.75" customHeight="1">
      <c r="A150" t="e">
        <f aca="true" t="shared" si="0" ref="A150:A155">DQ$2</f>
        <v>#N/A</v>
      </c>
      <c r="B150">
        <v>1</v>
      </c>
      <c r="C150" t="s">
        <v>934</v>
      </c>
      <c r="D150" t="s">
        <v>935</v>
      </c>
      <c r="E150" t="s">
        <v>480</v>
      </c>
      <c r="F150" s="240" t="e">
        <f>'1. Demande'!AN106</f>
        <v>#N/A</v>
      </c>
      <c r="G150" s="294" t="e">
        <f>F150/'2. Plan d''implantation'!S50</f>
        <v>#N/A</v>
      </c>
      <c r="Z150" s="142">
        <v>58</v>
      </c>
      <c r="AA150" s="143" t="s">
        <v>418</v>
      </c>
      <c r="AB150" t="s">
        <v>292</v>
      </c>
      <c r="AC150" s="143" t="s">
        <v>889</v>
      </c>
      <c r="AD150" s="145">
        <v>1758.35</v>
      </c>
      <c r="AE150" s="143" t="s">
        <v>888</v>
      </c>
    </row>
    <row r="151" spans="1:31" ht="12.75" customHeight="1">
      <c r="A151" t="e">
        <f t="shared" si="0"/>
        <v>#N/A</v>
      </c>
      <c r="B151">
        <v>16</v>
      </c>
      <c r="C151" t="s">
        <v>466</v>
      </c>
      <c r="D151">
        <f>IF('1. Demande'!H11=0,"",'1. Demande'!H11)</f>
      </c>
      <c r="E151" t="s">
        <v>202</v>
      </c>
      <c r="F151" s="240" t="e">
        <f>'2. Plan d''implantation'!S50-'1. Demande'!AN106</f>
        <v>#N/A</v>
      </c>
      <c r="G151" s="294" t="e">
        <f>F151/'2. Plan d''implantation'!S50</f>
        <v>#N/A</v>
      </c>
      <c r="Z151" s="142">
        <v>59</v>
      </c>
      <c r="AA151" s="143" t="s">
        <v>419</v>
      </c>
      <c r="AB151" t="s">
        <v>292</v>
      </c>
      <c r="AC151" s="143" t="s">
        <v>890</v>
      </c>
      <c r="AD151" s="145">
        <v>2194.5</v>
      </c>
      <c r="AE151" s="143" t="s">
        <v>866</v>
      </c>
    </row>
    <row r="152" spans="1:31" ht="12.75" customHeight="1">
      <c r="A152" t="e">
        <f t="shared" si="0"/>
        <v>#N/A</v>
      </c>
      <c r="F152" s="240"/>
      <c r="G152" s="199"/>
      <c r="Z152" s="142">
        <v>60</v>
      </c>
      <c r="AA152" s="143" t="s">
        <v>420</v>
      </c>
      <c r="AB152" t="s">
        <v>292</v>
      </c>
      <c r="AC152" s="143" t="s">
        <v>891</v>
      </c>
      <c r="AD152" s="145">
        <v>1826.92</v>
      </c>
      <c r="AE152" s="143" t="s">
        <v>892</v>
      </c>
    </row>
    <row r="153" spans="1:31" ht="12.75" customHeight="1">
      <c r="A153" t="e">
        <f t="shared" si="0"/>
        <v>#N/A</v>
      </c>
      <c r="F153" s="240"/>
      <c r="G153" s="199"/>
      <c r="Z153" s="142">
        <v>61</v>
      </c>
      <c r="AA153" s="143" t="s">
        <v>421</v>
      </c>
      <c r="AB153" t="s">
        <v>292</v>
      </c>
      <c r="AC153" s="143" t="s">
        <v>893</v>
      </c>
      <c r="AD153" s="145">
        <v>1548.37</v>
      </c>
      <c r="AE153" s="143" t="s">
        <v>866</v>
      </c>
    </row>
    <row r="154" spans="1:31" ht="12.75" customHeight="1">
      <c r="A154" t="e">
        <f t="shared" si="0"/>
        <v>#N/A</v>
      </c>
      <c r="F154" s="240"/>
      <c r="G154" s="199"/>
      <c r="Z154" s="142">
        <v>62</v>
      </c>
      <c r="AA154" s="143" t="s">
        <v>422</v>
      </c>
      <c r="AB154" t="s">
        <v>292</v>
      </c>
      <c r="AC154" s="143" t="s">
        <v>894</v>
      </c>
      <c r="AD154" s="145">
        <v>1388.42</v>
      </c>
      <c r="AE154" s="143" t="s">
        <v>866</v>
      </c>
    </row>
    <row r="155" spans="1:31" ht="12.75" customHeight="1">
      <c r="A155" t="e">
        <f t="shared" si="0"/>
        <v>#N/A</v>
      </c>
      <c r="F155" s="240"/>
      <c r="G155" s="199"/>
      <c r="Z155" s="142">
        <v>99</v>
      </c>
      <c r="AA155" s="143" t="s">
        <v>895</v>
      </c>
      <c r="AB155" t="s">
        <v>292</v>
      </c>
      <c r="AC155" s="143" t="s">
        <v>0</v>
      </c>
      <c r="AD155" s="145">
        <v>1509.4</v>
      </c>
      <c r="AE155" s="143" t="s">
        <v>866</v>
      </c>
    </row>
    <row r="156" spans="6:32" ht="12.75" customHeight="1">
      <c r="F156" s="240"/>
      <c r="G156" s="199"/>
      <c r="Z156" s="142">
        <v>100</v>
      </c>
      <c r="AA156" s="143" t="s">
        <v>1</v>
      </c>
      <c r="AB156" t="s">
        <v>292</v>
      </c>
      <c r="AC156" s="143" t="s">
        <v>2</v>
      </c>
      <c r="AD156" s="145">
        <v>557.5</v>
      </c>
      <c r="AE156" s="143" t="s">
        <v>866</v>
      </c>
      <c r="AF156" s="143" t="s">
        <v>284</v>
      </c>
    </row>
    <row r="157" spans="26:31" ht="12.75" customHeight="1">
      <c r="Z157" s="142">
        <v>101</v>
      </c>
      <c r="AA157" s="143" t="s">
        <v>3</v>
      </c>
      <c r="AB157" t="s">
        <v>292</v>
      </c>
      <c r="AC157" s="143" t="s">
        <v>4</v>
      </c>
      <c r="AD157" s="145">
        <v>1034.01</v>
      </c>
      <c r="AE157" s="143" t="s">
        <v>866</v>
      </c>
    </row>
    <row r="158" spans="1:31" ht="12.75" customHeight="1">
      <c r="A158" t="s">
        <v>336</v>
      </c>
      <c r="B158" t="s">
        <v>796</v>
      </c>
      <c r="C158" s="100" t="s">
        <v>249</v>
      </c>
      <c r="D158" s="100" t="s">
        <v>120</v>
      </c>
      <c r="E158" s="100" t="s">
        <v>241</v>
      </c>
      <c r="F158" s="100" t="s">
        <v>242</v>
      </c>
      <c r="G158" s="100" t="s">
        <v>243</v>
      </c>
      <c r="H158" s="100" t="s">
        <v>244</v>
      </c>
      <c r="I158" s="100" t="s">
        <v>245</v>
      </c>
      <c r="J158" s="100" t="s">
        <v>246</v>
      </c>
      <c r="K158" s="100" t="s">
        <v>247</v>
      </c>
      <c r="Z158" s="142">
        <v>115</v>
      </c>
      <c r="AA158" s="143" t="s">
        <v>5</v>
      </c>
      <c r="AB158" t="s">
        <v>292</v>
      </c>
      <c r="AC158" s="143" t="s">
        <v>6</v>
      </c>
      <c r="AD158" s="145">
        <v>2014.78</v>
      </c>
      <c r="AE158" s="143" t="s">
        <v>303</v>
      </c>
    </row>
    <row r="159" spans="1:31" ht="12.75" customHeight="1">
      <c r="A159" t="e">
        <f aca="true" t="shared" si="1" ref="A159:A164">DQ$2</f>
        <v>#N/A</v>
      </c>
      <c r="B159" t="e">
        <f>'1. Demande'!C84</f>
        <v>#N/A</v>
      </c>
      <c r="C159" t="e">
        <f>'1. Demande'!D84</f>
        <v>#N/A</v>
      </c>
      <c r="D159" t="e">
        <f>'1. Demande'!J84</f>
        <v>#N/A</v>
      </c>
      <c r="E159">
        <f>'1. Demande'!N84</f>
        <v>0</v>
      </c>
      <c r="F159">
        <f>'1. Demande'!R84</f>
        <v>0</v>
      </c>
      <c r="G159" s="240">
        <f>'1. Demande'!V84</f>
      </c>
      <c r="H159" s="173" t="e">
        <f>'1. Demande'!AA84</f>
        <v>#N/A</v>
      </c>
      <c r="I159" s="173" t="e">
        <f>'1. Demande'!AE84</f>
        <v>#N/A</v>
      </c>
      <c r="J159" s="240" t="e">
        <f>'1. Demande'!AJ84</f>
        <v>#N/A</v>
      </c>
      <c r="K159">
        <f>'1. Demande'!AN84</f>
        <v>0</v>
      </c>
      <c r="Z159" s="142">
        <v>102</v>
      </c>
      <c r="AA159" s="143" t="s">
        <v>7</v>
      </c>
      <c r="AB159" t="s">
        <v>292</v>
      </c>
      <c r="AC159" s="143" t="s">
        <v>8</v>
      </c>
      <c r="AD159" s="145">
        <v>1764.26</v>
      </c>
      <c r="AE159" s="143" t="s">
        <v>866</v>
      </c>
    </row>
    <row r="160" spans="1:31" ht="12.75" customHeight="1">
      <c r="A160" t="e">
        <f t="shared" si="1"/>
        <v>#N/A</v>
      </c>
      <c r="B160" t="e">
        <f>'1. Demande'!C85</f>
        <v>#N/A</v>
      </c>
      <c r="C160">
        <f>'1. Demande'!D85</f>
        <v>0</v>
      </c>
      <c r="D160">
        <f>'1. Demande'!J85</f>
      </c>
      <c r="E160">
        <f>'1. Demande'!N85</f>
        <v>0</v>
      </c>
      <c r="F160">
        <f>'1. Demande'!R85</f>
        <v>0</v>
      </c>
      <c r="G160" s="240">
        <f>'1. Demande'!V85</f>
        <v>0</v>
      </c>
      <c r="H160" s="173">
        <f>'1. Demande'!AA85</f>
        <v>0</v>
      </c>
      <c r="I160" s="173">
        <f>'1. Demande'!AE85</f>
        <v>0</v>
      </c>
      <c r="J160" s="240">
        <f>'1. Demande'!AJ85</f>
        <v>0</v>
      </c>
      <c r="K160">
        <f>'1. Demande'!AN85</f>
        <v>0</v>
      </c>
      <c r="Z160" s="142">
        <v>103</v>
      </c>
      <c r="AA160" s="143" t="s">
        <v>9</v>
      </c>
      <c r="AB160" t="s">
        <v>292</v>
      </c>
      <c r="AC160" s="143" t="s">
        <v>10</v>
      </c>
      <c r="AD160" s="145">
        <v>2442.04</v>
      </c>
      <c r="AE160" s="143" t="s">
        <v>303</v>
      </c>
    </row>
    <row r="161" spans="1:31" ht="12.75" customHeight="1">
      <c r="A161" t="e">
        <f t="shared" si="1"/>
        <v>#N/A</v>
      </c>
      <c r="B161" t="e">
        <f>'1. Demande'!C86</f>
        <v>#N/A</v>
      </c>
      <c r="C161">
        <f>'1. Demande'!D86</f>
        <v>0</v>
      </c>
      <c r="D161">
        <f>'1. Demande'!J86</f>
      </c>
      <c r="E161">
        <f>'1. Demande'!N86</f>
        <v>0</v>
      </c>
      <c r="F161">
        <f>'1. Demande'!R86</f>
        <v>0</v>
      </c>
      <c r="G161" s="240">
        <f>'1. Demande'!V86</f>
        <v>0</v>
      </c>
      <c r="H161" s="173">
        <f>'1. Demande'!AA86</f>
        <v>0</v>
      </c>
      <c r="I161" s="173">
        <f>'1. Demande'!AE86</f>
        <v>0</v>
      </c>
      <c r="J161" s="240">
        <f>'1. Demande'!AJ86</f>
        <v>0</v>
      </c>
      <c r="K161">
        <f>'1. Demande'!AN86</f>
        <v>0</v>
      </c>
      <c r="Z161" s="142">
        <v>104</v>
      </c>
      <c r="AA161" s="143" t="s">
        <v>11</v>
      </c>
      <c r="AB161" t="s">
        <v>292</v>
      </c>
      <c r="AC161" s="143" t="s">
        <v>12</v>
      </c>
      <c r="AD161" s="145">
        <v>1421.2</v>
      </c>
      <c r="AE161" s="143" t="s">
        <v>866</v>
      </c>
    </row>
    <row r="162" spans="1:31" ht="12.75" customHeight="1">
      <c r="A162" t="e">
        <f t="shared" si="1"/>
        <v>#N/A</v>
      </c>
      <c r="B162" t="e">
        <f>'1. Demande'!C87</f>
        <v>#N/A</v>
      </c>
      <c r="C162">
        <f>'1. Demande'!D87</f>
        <v>0</v>
      </c>
      <c r="D162">
        <f>'1. Demande'!J87</f>
      </c>
      <c r="E162">
        <f>'1. Demande'!N87</f>
        <v>0</v>
      </c>
      <c r="F162">
        <f>'1. Demande'!R87</f>
        <v>0</v>
      </c>
      <c r="G162" s="240">
        <f>'1. Demande'!V87</f>
        <v>0</v>
      </c>
      <c r="H162" s="173">
        <f>'1. Demande'!AA87</f>
        <v>0</v>
      </c>
      <c r="I162" s="173">
        <f>'1. Demande'!AE87</f>
        <v>0</v>
      </c>
      <c r="J162" s="240">
        <f>'1. Demande'!AJ87</f>
        <v>0</v>
      </c>
      <c r="K162">
        <f>'1. Demande'!AN87</f>
        <v>0</v>
      </c>
      <c r="Z162" s="142">
        <v>105</v>
      </c>
      <c r="AA162" s="143" t="s">
        <v>13</v>
      </c>
      <c r="AB162" t="s">
        <v>292</v>
      </c>
      <c r="AC162" s="143" t="s">
        <v>14</v>
      </c>
      <c r="AD162" s="145">
        <v>2170</v>
      </c>
      <c r="AE162" s="143" t="s">
        <v>303</v>
      </c>
    </row>
    <row r="163" spans="1:31" ht="12.75" customHeight="1">
      <c r="A163" t="e">
        <f t="shared" si="1"/>
        <v>#N/A</v>
      </c>
      <c r="B163" t="e">
        <f>'1. Demande'!C88</f>
        <v>#N/A</v>
      </c>
      <c r="C163">
        <f>'1. Demande'!D88</f>
        <v>0</v>
      </c>
      <c r="D163">
        <f>'1. Demande'!J88</f>
      </c>
      <c r="E163">
        <f>'1. Demande'!N88</f>
        <v>0</v>
      </c>
      <c r="F163">
        <f>'1. Demande'!R88</f>
        <v>0</v>
      </c>
      <c r="G163" s="240">
        <f>'1. Demande'!V88</f>
        <v>0</v>
      </c>
      <c r="H163" s="173">
        <f>'1. Demande'!AA88</f>
        <v>0</v>
      </c>
      <c r="I163" s="173">
        <f>'1. Demande'!AE88</f>
        <v>0</v>
      </c>
      <c r="J163" s="240">
        <f>'1. Demande'!AJ88</f>
        <v>0</v>
      </c>
      <c r="K163">
        <f>'1. Demande'!AN88</f>
        <v>0</v>
      </c>
      <c r="Z163" s="142">
        <v>106</v>
      </c>
      <c r="AA163" s="143" t="s">
        <v>15</v>
      </c>
      <c r="AB163" t="s">
        <v>292</v>
      </c>
      <c r="AC163" s="143" t="s">
        <v>16</v>
      </c>
      <c r="AD163" s="145">
        <v>2575</v>
      </c>
      <c r="AE163" s="143" t="s">
        <v>303</v>
      </c>
    </row>
    <row r="164" spans="1:31" ht="12.75" customHeight="1">
      <c r="A164" t="e">
        <f t="shared" si="1"/>
        <v>#N/A</v>
      </c>
      <c r="B164" t="e">
        <f>'1. Demande'!C89</f>
        <v>#N/A</v>
      </c>
      <c r="C164">
        <f>'1. Demande'!D89</f>
        <v>0</v>
      </c>
      <c r="D164">
        <f>'1. Demande'!J89</f>
      </c>
      <c r="E164">
        <f>'1. Demande'!N89</f>
        <v>0</v>
      </c>
      <c r="F164">
        <f>'1. Demande'!R89</f>
        <v>0</v>
      </c>
      <c r="G164" s="240">
        <f>'1. Demande'!V89</f>
        <v>0</v>
      </c>
      <c r="H164" s="173">
        <f>'1. Demande'!AA89</f>
        <v>0</v>
      </c>
      <c r="I164" s="173">
        <f>'1. Demande'!AE89</f>
        <v>0</v>
      </c>
      <c r="J164" s="240">
        <f>'1. Demande'!AJ89</f>
        <v>0</v>
      </c>
      <c r="K164">
        <f>'1. Demande'!AN89</f>
        <v>0</v>
      </c>
      <c r="Z164" s="142">
        <v>89</v>
      </c>
      <c r="AA164" s="143" t="s">
        <v>17</v>
      </c>
      <c r="AB164" t="s">
        <v>292</v>
      </c>
      <c r="AC164" s="143" t="s">
        <v>18</v>
      </c>
      <c r="AD164" s="145">
        <v>2292.27</v>
      </c>
      <c r="AE164" s="143" t="s">
        <v>303</v>
      </c>
    </row>
    <row r="165" spans="26:31" ht="12.75" customHeight="1">
      <c r="Z165" s="142">
        <v>90</v>
      </c>
      <c r="AA165" s="143" t="s">
        <v>19</v>
      </c>
      <c r="AB165" t="s">
        <v>292</v>
      </c>
      <c r="AC165" s="143" t="s">
        <v>20</v>
      </c>
      <c r="AD165" s="145">
        <v>2138.91</v>
      </c>
      <c r="AE165" s="143" t="s">
        <v>303</v>
      </c>
    </row>
    <row r="166" spans="1:31" ht="12.75" customHeight="1">
      <c r="A166" t="s">
        <v>336</v>
      </c>
      <c r="B166" t="s">
        <v>72</v>
      </c>
      <c r="C166" t="s">
        <v>73</v>
      </c>
      <c r="D166" t="s">
        <v>90</v>
      </c>
      <c r="E166" t="s">
        <v>472</v>
      </c>
      <c r="F166" t="s">
        <v>91</v>
      </c>
      <c r="G166" t="s">
        <v>471</v>
      </c>
      <c r="H166" t="s">
        <v>92</v>
      </c>
      <c r="I166" t="s">
        <v>93</v>
      </c>
      <c r="J166" t="s">
        <v>473</v>
      </c>
      <c r="K166" t="s">
        <v>94</v>
      </c>
      <c r="L166" t="s">
        <v>474</v>
      </c>
      <c r="M166" t="s">
        <v>95</v>
      </c>
      <c r="N166" t="s">
        <v>96</v>
      </c>
      <c r="O166" t="s">
        <v>97</v>
      </c>
      <c r="P166" t="s">
        <v>475</v>
      </c>
      <c r="Q166" t="s">
        <v>98</v>
      </c>
      <c r="R166" t="s">
        <v>476</v>
      </c>
      <c r="S166" t="s">
        <v>99</v>
      </c>
      <c r="T166" t="s">
        <v>100</v>
      </c>
      <c r="U166" t="s">
        <v>477</v>
      </c>
      <c r="V166" t="s">
        <v>101</v>
      </c>
      <c r="W166" t="s">
        <v>102</v>
      </c>
      <c r="X166" t="s">
        <v>103</v>
      </c>
      <c r="Z166" s="142">
        <v>91</v>
      </c>
      <c r="AA166" s="143" t="s">
        <v>21</v>
      </c>
      <c r="AB166" t="s">
        <v>292</v>
      </c>
      <c r="AC166" s="143" t="s">
        <v>22</v>
      </c>
      <c r="AD166" s="145">
        <v>2543.92</v>
      </c>
      <c r="AE166" s="143" t="s">
        <v>303</v>
      </c>
    </row>
    <row r="167" spans="1:31" ht="12.75" customHeight="1">
      <c r="A167" t="e">
        <f aca="true" t="shared" si="2" ref="A167:A172">DQ$2</f>
        <v>#N/A</v>
      </c>
      <c r="B167">
        <f>'1. Demande'!D113</f>
        <v>1</v>
      </c>
      <c r="C167" t="str">
        <f>IF('1. Demande'!E113="","",'1. Demande'!E113)</f>
        <v>BT</v>
      </c>
      <c r="D167">
        <f>'1. Demande'!G113</f>
        <v>0</v>
      </c>
      <c r="E167">
        <f aca="true" ca="1" t="shared" si="3" ref="E167:E172">IF(F167="",0,INDEX(OFFSET(PRP,,-1,,),MATCH(F167,PRP,0)))</f>
        <v>10</v>
      </c>
      <c r="F167" t="str">
        <f>IF('1. Demande'!J113="","",'1. Demande'!J113)</f>
        <v>HFC-134a</v>
      </c>
      <c r="G167" t="str">
        <f ca="1">IF(F167="","",INDEX(OFFSET(PRP,,2,,),MATCH(F167,PRP,0)))</f>
        <v>CH2FCF3</v>
      </c>
      <c r="H167">
        <f>'1. Demande'!P113</f>
        <v>1300</v>
      </c>
      <c r="I167" s="98">
        <f>'1. Demande'!R113</f>
        <v>0</v>
      </c>
      <c r="J167">
        <f aca="true" ca="1" t="shared" si="4" ref="J167:J172">INDEX(OFFSET(Unite,,-1,,),MATCH(K167,Unite,0))</f>
        <v>1</v>
      </c>
      <c r="K167" t="str">
        <f>'1. Demande'!U113</f>
        <v>kg</v>
      </c>
      <c r="L167" s="200">
        <f>'1. Demande'!AA$110</f>
        <v>0.15</v>
      </c>
      <c r="M167" s="144">
        <f>'1. Demande'!AA$110*'1. Demande'!R113</f>
        <v>0</v>
      </c>
      <c r="N167">
        <f>'1. Demande'!X113</f>
        <v>0</v>
      </c>
      <c r="O167">
        <f>'1. Demande'!Z113</f>
        <v>0</v>
      </c>
      <c r="P167">
        <f aca="true" ca="1" t="shared" si="5" ref="P167:P172">IF(Q167="",0,INDEX(OFFSET(PRP,,-1,,),MATCH(Q167,PRP,0)))</f>
        <v>1</v>
      </c>
      <c r="Q167" t="str">
        <f>IF('1. Demande'!AC113="","",'1. Demande'!AC113)</f>
        <v>Dioxyde de carbone (R-744)</v>
      </c>
      <c r="R167" t="str">
        <f aca="true" ca="1" t="shared" si="6" ref="R167:R172">IF(Q167="","",INDEX(OFFSET(PRP,,2,,),MATCH(Q167,PRP,0)))</f>
        <v>CO2</v>
      </c>
      <c r="S167">
        <f>'1. Demande'!AI113</f>
        <v>1</v>
      </c>
      <c r="T167">
        <f>'1. Demande'!AK113</f>
        <v>0</v>
      </c>
      <c r="U167">
        <f aca="true" ca="1" t="shared" si="7" ref="U167:U172">INDEX(OFFSET(Unite,,-1,,),MATCH(V167,Unite,0))</f>
        <v>1</v>
      </c>
      <c r="V167" t="str">
        <f>'1. Demande'!AN113</f>
        <v>kg</v>
      </c>
      <c r="W167">
        <f>'1. Demande'!AA$110*'1. Demande'!AK113</f>
        <v>0</v>
      </c>
      <c r="X167">
        <f>'1. Demande'!AP113</f>
        <v>0</v>
      </c>
      <c r="Z167" s="142">
        <v>107</v>
      </c>
      <c r="AA167" s="143" t="s">
        <v>23</v>
      </c>
      <c r="AB167" t="s">
        <v>292</v>
      </c>
      <c r="AC167" s="143" t="s">
        <v>24</v>
      </c>
      <c r="AD167" s="145">
        <v>2060</v>
      </c>
      <c r="AE167" s="143" t="s">
        <v>303</v>
      </c>
    </row>
    <row r="168" spans="1:31" ht="12.75" customHeight="1">
      <c r="A168" t="e">
        <f t="shared" si="2"/>
        <v>#N/A</v>
      </c>
      <c r="B168">
        <f>'1. Demande'!D114</f>
        <v>2</v>
      </c>
      <c r="C168" t="str">
        <f>IF('1. Demande'!E114="","",'1. Demande'!E114)</f>
        <v>MT</v>
      </c>
      <c r="D168">
        <f>'1. Demande'!G114</f>
        <v>0</v>
      </c>
      <c r="E168">
        <f ca="1" t="shared" si="3"/>
        <v>10</v>
      </c>
      <c r="F168" t="str">
        <f>IF('1. Demande'!J114="","",'1. Demande'!J114)</f>
        <v>HFC-134a</v>
      </c>
      <c r="H168">
        <f>'1. Demande'!P114</f>
        <v>1300</v>
      </c>
      <c r="I168" s="98">
        <f>'1. Demande'!R114</f>
        <v>0</v>
      </c>
      <c r="J168">
        <f ca="1" t="shared" si="4"/>
        <v>1</v>
      </c>
      <c r="K168" t="str">
        <f>'1. Demande'!U114</f>
        <v>kg</v>
      </c>
      <c r="L168" s="200">
        <f>'1. Demande'!AA$110</f>
        <v>0.15</v>
      </c>
      <c r="M168" s="144">
        <f>'1. Demande'!AA$110*'1. Demande'!R114</f>
        <v>0</v>
      </c>
      <c r="N168">
        <f>'1. Demande'!X114</f>
        <v>0</v>
      </c>
      <c r="O168">
        <f>'1. Demande'!Z114</f>
        <v>0</v>
      </c>
      <c r="P168">
        <f ca="1" t="shared" si="5"/>
        <v>1</v>
      </c>
      <c r="Q168" t="str">
        <f>IF('1. Demande'!AC114="","",'1. Demande'!AC114)</f>
        <v>Dioxyde de carbone (R-744)</v>
      </c>
      <c r="R168" t="str">
        <f ca="1" t="shared" si="6"/>
        <v>CO2</v>
      </c>
      <c r="S168">
        <f>'1. Demande'!AI114</f>
        <v>1</v>
      </c>
      <c r="T168">
        <f>'1. Demande'!AK114</f>
        <v>0</v>
      </c>
      <c r="U168">
        <f ca="1" t="shared" si="7"/>
        <v>1</v>
      </c>
      <c r="V168" t="str">
        <f>'1. Demande'!AN114</f>
        <v>kg</v>
      </c>
      <c r="W168">
        <f>'1. Demande'!AA$110*'1. Demande'!AK114</f>
        <v>0</v>
      </c>
      <c r="X168">
        <f>'1. Demande'!AP114</f>
        <v>0</v>
      </c>
      <c r="Z168" s="142">
        <v>108</v>
      </c>
      <c r="AA168" s="143" t="s">
        <v>25</v>
      </c>
      <c r="AB168" t="s">
        <v>292</v>
      </c>
      <c r="AC168" s="143" t="s">
        <v>26</v>
      </c>
      <c r="AD168" s="145">
        <v>2183.87</v>
      </c>
      <c r="AE168" s="143" t="s">
        <v>38</v>
      </c>
    </row>
    <row r="169" spans="1:31" ht="12.75" customHeight="1">
      <c r="A169" t="e">
        <f t="shared" si="2"/>
        <v>#N/A</v>
      </c>
      <c r="B169">
        <f>'1. Demande'!D115</f>
        <v>3</v>
      </c>
      <c r="C169">
        <f>IF('1. Demande'!E115="","",'1. Demande'!E115)</f>
      </c>
      <c r="D169">
        <f>'1. Demande'!G115</f>
        <v>0</v>
      </c>
      <c r="E169">
        <f ca="1" t="shared" si="3"/>
        <v>10</v>
      </c>
      <c r="F169" t="str">
        <f>IF('1. Demande'!J115="","",'1. Demande'!J115)</f>
        <v>HFC-134a</v>
      </c>
      <c r="H169">
        <f>'1. Demande'!P115</f>
        <v>1300</v>
      </c>
      <c r="I169" s="98">
        <f>'1. Demande'!R115</f>
        <v>0</v>
      </c>
      <c r="J169">
        <f ca="1" t="shared" si="4"/>
        <v>1</v>
      </c>
      <c r="K169" t="str">
        <f>'1. Demande'!U115</f>
        <v>kg</v>
      </c>
      <c r="L169" s="200">
        <f>'1. Demande'!AA$110</f>
        <v>0.15</v>
      </c>
      <c r="M169" s="144">
        <f>'1. Demande'!AA$110*'1. Demande'!R115</f>
        <v>0</v>
      </c>
      <c r="N169">
        <f>'1. Demande'!X115</f>
        <v>0</v>
      </c>
      <c r="O169">
        <f>'1. Demande'!Z115</f>
        <v>0</v>
      </c>
      <c r="P169">
        <f ca="1" t="shared" si="5"/>
        <v>1</v>
      </c>
      <c r="Q169" t="str">
        <f>IF('1. Demande'!AC115="","",'1. Demande'!AC115)</f>
        <v>Dioxyde de carbone (R-744)</v>
      </c>
      <c r="R169" t="str">
        <f ca="1" t="shared" si="6"/>
        <v>CO2</v>
      </c>
      <c r="S169">
        <f>'1. Demande'!AI115</f>
        <v>1</v>
      </c>
      <c r="T169">
        <f>'1. Demande'!AK115</f>
        <v>0</v>
      </c>
      <c r="U169">
        <f ca="1" t="shared" si="7"/>
        <v>1</v>
      </c>
      <c r="V169" t="str">
        <f>'1. Demande'!AN115</f>
        <v>kg</v>
      </c>
      <c r="W169">
        <f>'1. Demande'!AA$110*'1. Demande'!AK115</f>
        <v>0</v>
      </c>
      <c r="X169">
        <f>'1. Demande'!AP115</f>
        <v>0</v>
      </c>
      <c r="Z169" s="142">
        <v>109</v>
      </c>
      <c r="AA169" s="143" t="s">
        <v>39</v>
      </c>
      <c r="AB169" t="s">
        <v>292</v>
      </c>
      <c r="AC169" s="143" t="s">
        <v>40</v>
      </c>
      <c r="AD169" s="145">
        <v>1371.75</v>
      </c>
      <c r="AE169" s="143" t="s">
        <v>303</v>
      </c>
    </row>
    <row r="170" spans="1:31" ht="12.75" customHeight="1">
      <c r="A170" t="e">
        <f t="shared" si="2"/>
        <v>#N/A</v>
      </c>
      <c r="B170">
        <f>'1. Demande'!D116</f>
        <v>4</v>
      </c>
      <c r="C170">
        <f>IF('1. Demande'!E116="","",'1. Demande'!E116)</f>
      </c>
      <c r="D170">
        <f>'1. Demande'!G116</f>
        <v>0</v>
      </c>
      <c r="E170">
        <f ca="1" t="shared" si="3"/>
        <v>10</v>
      </c>
      <c r="F170" t="str">
        <f>IF('1. Demande'!J116="","",'1. Demande'!J116)</f>
        <v>HFC-134a</v>
      </c>
      <c r="H170">
        <f>'1. Demande'!P116</f>
        <v>1300</v>
      </c>
      <c r="I170" s="98">
        <f>'1. Demande'!R116</f>
        <v>0</v>
      </c>
      <c r="J170">
        <f ca="1" t="shared" si="4"/>
        <v>1</v>
      </c>
      <c r="K170" t="str">
        <f>'1. Demande'!U116</f>
        <v>kg</v>
      </c>
      <c r="L170" s="200">
        <f>'1. Demande'!AA$110</f>
        <v>0.15</v>
      </c>
      <c r="M170" s="144">
        <f>'1. Demande'!AA$110*'1. Demande'!R116</f>
        <v>0</v>
      </c>
      <c r="N170">
        <f>'1. Demande'!X116</f>
        <v>0</v>
      </c>
      <c r="O170">
        <f>'1. Demande'!Z116</f>
        <v>0</v>
      </c>
      <c r="P170">
        <f ca="1" t="shared" si="5"/>
        <v>1</v>
      </c>
      <c r="Q170" t="str">
        <f>IF('1. Demande'!AC116="","",'1. Demande'!AC116)</f>
        <v>Dioxyde de carbone (R-744)</v>
      </c>
      <c r="R170" t="str">
        <f ca="1" t="shared" si="6"/>
        <v>CO2</v>
      </c>
      <c r="S170">
        <f>'1. Demande'!AI116</f>
        <v>1</v>
      </c>
      <c r="T170">
        <f>'1. Demande'!AK116</f>
        <v>0</v>
      </c>
      <c r="U170">
        <f ca="1" t="shared" si="7"/>
        <v>1</v>
      </c>
      <c r="V170" t="str">
        <f>'1. Demande'!AN116</f>
        <v>kg</v>
      </c>
      <c r="W170">
        <f>'1. Demande'!AA$110*'1. Demande'!AK116</f>
        <v>0</v>
      </c>
      <c r="X170">
        <f>'1. Demande'!AP116</f>
        <v>0</v>
      </c>
      <c r="Z170" s="142">
        <v>110</v>
      </c>
      <c r="AA170" s="143" t="s">
        <v>41</v>
      </c>
      <c r="AB170" t="s">
        <v>292</v>
      </c>
      <c r="AC170" s="143" t="s">
        <v>42</v>
      </c>
      <c r="AD170" s="145">
        <v>1374.73</v>
      </c>
      <c r="AE170" s="143" t="s">
        <v>303</v>
      </c>
    </row>
    <row r="171" spans="1:31" ht="12.75" customHeight="1">
      <c r="A171" t="e">
        <f t="shared" si="2"/>
        <v>#N/A</v>
      </c>
      <c r="B171">
        <f>'1. Demande'!D117</f>
        <v>5</v>
      </c>
      <c r="C171">
        <f>IF('1. Demande'!E117="","",'1. Demande'!E117)</f>
      </c>
      <c r="D171">
        <f>'1. Demande'!G117</f>
        <v>0</v>
      </c>
      <c r="E171">
        <f ca="1" t="shared" si="3"/>
        <v>10</v>
      </c>
      <c r="F171" t="str">
        <f>IF('1. Demande'!J117="","",'1. Demande'!J117)</f>
        <v>HFC-134a</v>
      </c>
      <c r="H171">
        <f>'1. Demande'!P117</f>
        <v>1300</v>
      </c>
      <c r="I171" s="98">
        <f>'1. Demande'!R117</f>
        <v>0</v>
      </c>
      <c r="J171">
        <f ca="1" t="shared" si="4"/>
        <v>1</v>
      </c>
      <c r="K171" t="str">
        <f>'1. Demande'!U117</f>
        <v>kg</v>
      </c>
      <c r="L171" s="200">
        <f>'1. Demande'!AA$110</f>
        <v>0.15</v>
      </c>
      <c r="M171" s="144">
        <f>'1. Demande'!AA$110*'1. Demande'!R117</f>
        <v>0</v>
      </c>
      <c r="N171">
        <f>'1. Demande'!X117</f>
        <v>0</v>
      </c>
      <c r="O171">
        <f>'1. Demande'!Z117</f>
        <v>0</v>
      </c>
      <c r="P171">
        <f ca="1" t="shared" si="5"/>
        <v>1</v>
      </c>
      <c r="Q171" t="str">
        <f>IF('1. Demande'!AC117="","",'1. Demande'!AC117)</f>
        <v>Dioxyde de carbone (R-744)</v>
      </c>
      <c r="R171" t="str">
        <f ca="1" t="shared" si="6"/>
        <v>CO2</v>
      </c>
      <c r="S171">
        <f>'1. Demande'!AI117</f>
        <v>1</v>
      </c>
      <c r="T171">
        <f>'1. Demande'!AK117</f>
        <v>0</v>
      </c>
      <c r="U171">
        <f ca="1" t="shared" si="7"/>
        <v>1</v>
      </c>
      <c r="V171" t="str">
        <f>'1. Demande'!AN117</f>
        <v>kg</v>
      </c>
      <c r="W171">
        <f>'1. Demande'!AA$110*'1. Demande'!AK117</f>
        <v>0</v>
      </c>
      <c r="X171">
        <f>'1. Demande'!AP117</f>
        <v>0</v>
      </c>
      <c r="Z171" s="142">
        <v>111</v>
      </c>
      <c r="AA171" s="143" t="s">
        <v>43</v>
      </c>
      <c r="AB171" t="s">
        <v>292</v>
      </c>
      <c r="AC171" s="143" t="s">
        <v>44</v>
      </c>
      <c r="AD171" s="145">
        <v>1827.5</v>
      </c>
      <c r="AE171" s="143" t="s">
        <v>303</v>
      </c>
    </row>
    <row r="172" spans="1:31" ht="12.75" customHeight="1">
      <c r="A172" t="e">
        <f t="shared" si="2"/>
        <v>#N/A</v>
      </c>
      <c r="B172">
        <f>'1. Demande'!D118</f>
        <v>6</v>
      </c>
      <c r="C172">
        <f>IF('1. Demande'!E118="","",'1. Demande'!E118)</f>
      </c>
      <c r="D172">
        <f>'1. Demande'!G118</f>
        <v>0</v>
      </c>
      <c r="E172">
        <f ca="1" t="shared" si="3"/>
        <v>10</v>
      </c>
      <c r="F172" t="str">
        <f>IF('1. Demande'!J118="","",'1. Demande'!J118)</f>
        <v>HFC-134a</v>
      </c>
      <c r="H172">
        <f>'1. Demande'!P118</f>
        <v>1300</v>
      </c>
      <c r="I172" s="98">
        <f>'1. Demande'!R118</f>
        <v>0</v>
      </c>
      <c r="J172">
        <f ca="1" t="shared" si="4"/>
        <v>1</v>
      </c>
      <c r="K172" t="str">
        <f>'1. Demande'!U118</f>
        <v>kg</v>
      </c>
      <c r="L172" s="200">
        <f>'1. Demande'!AA$110</f>
        <v>0.15</v>
      </c>
      <c r="M172" s="144">
        <f>'1. Demande'!AA$110*'1. Demande'!R118</f>
        <v>0</v>
      </c>
      <c r="N172">
        <f>'1. Demande'!X118</f>
        <v>0</v>
      </c>
      <c r="O172">
        <f>'1. Demande'!Z118</f>
        <v>0</v>
      </c>
      <c r="P172">
        <f ca="1" t="shared" si="5"/>
        <v>1</v>
      </c>
      <c r="Q172" t="str">
        <f>IF('1. Demande'!AC118="","",'1. Demande'!AC118)</f>
        <v>Dioxyde de carbone (R-744)</v>
      </c>
      <c r="R172" t="str">
        <f ca="1" t="shared" si="6"/>
        <v>CO2</v>
      </c>
      <c r="S172">
        <f>'1. Demande'!AI118</f>
        <v>1</v>
      </c>
      <c r="T172">
        <f>'1. Demande'!AK118</f>
        <v>0</v>
      </c>
      <c r="U172">
        <f ca="1" t="shared" si="7"/>
        <v>1</v>
      </c>
      <c r="V172" t="str">
        <f>'1. Demande'!AN118</f>
        <v>kg</v>
      </c>
      <c r="W172">
        <f>'1. Demande'!AA$110*'1. Demande'!AK118</f>
        <v>0</v>
      </c>
      <c r="X172">
        <f>'1. Demande'!AP118</f>
        <v>0</v>
      </c>
      <c r="Z172" s="142">
        <v>112</v>
      </c>
      <c r="AA172" s="143" t="s">
        <v>45</v>
      </c>
      <c r="AB172" t="s">
        <v>292</v>
      </c>
      <c r="AC172" s="143" t="s">
        <v>46</v>
      </c>
      <c r="AD172" s="145">
        <v>2972.78</v>
      </c>
      <c r="AE172" s="143" t="s">
        <v>303</v>
      </c>
    </row>
    <row r="173" spans="6:31" ht="12.75" customHeight="1">
      <c r="F173" s="167"/>
      <c r="H173" s="200"/>
      <c r="Z173" s="142">
        <v>93</v>
      </c>
      <c r="AA173" s="143" t="s">
        <v>47</v>
      </c>
      <c r="AB173" t="s">
        <v>292</v>
      </c>
      <c r="AC173" s="143" t="s">
        <v>48</v>
      </c>
      <c r="AD173" s="145">
        <v>1930.42</v>
      </c>
      <c r="AE173" s="143" t="s">
        <v>892</v>
      </c>
    </row>
    <row r="174" spans="10:31" ht="12.75" customHeight="1">
      <c r="J174" s="167"/>
      <c r="Z174" s="142">
        <v>63</v>
      </c>
      <c r="AA174" s="143" t="s">
        <v>423</v>
      </c>
      <c r="AB174" t="s">
        <v>292</v>
      </c>
      <c r="AC174" s="143" t="s">
        <v>49</v>
      </c>
      <c r="AD174" s="145">
        <v>8048.18</v>
      </c>
      <c r="AE174" s="143" t="s">
        <v>866</v>
      </c>
    </row>
    <row r="175" spans="10:31" ht="12.75" customHeight="1">
      <c r="J175" s="167"/>
      <c r="K175" s="84"/>
      <c r="L175" s="11"/>
      <c r="M175" s="11"/>
      <c r="Z175" s="142">
        <v>64</v>
      </c>
      <c r="AA175" s="143" t="s">
        <v>424</v>
      </c>
      <c r="AB175" t="s">
        <v>292</v>
      </c>
      <c r="AC175" s="143" t="s">
        <v>50</v>
      </c>
      <c r="AD175" s="145">
        <v>4082.5</v>
      </c>
      <c r="AE175" s="143" t="s">
        <v>866</v>
      </c>
    </row>
    <row r="176" spans="10:31" ht="12.75" customHeight="1">
      <c r="J176" s="167"/>
      <c r="K176" s="84"/>
      <c r="L176" s="11"/>
      <c r="M176" s="11"/>
      <c r="Z176" s="142">
        <v>65</v>
      </c>
      <c r="AA176" s="143" t="s">
        <v>425</v>
      </c>
      <c r="AB176" t="s">
        <v>292</v>
      </c>
      <c r="AC176" s="143" t="s">
        <v>51</v>
      </c>
      <c r="AD176" s="145">
        <v>4656.72</v>
      </c>
      <c r="AE176" s="143" t="s">
        <v>866</v>
      </c>
    </row>
    <row r="177" spans="10:31" ht="12.75" customHeight="1">
      <c r="J177" s="167"/>
      <c r="K177" s="84"/>
      <c r="L177" s="11"/>
      <c r="M177" s="11"/>
      <c r="Z177" s="142">
        <v>66</v>
      </c>
      <c r="AA177" s="143" t="s">
        <v>426</v>
      </c>
      <c r="AB177" t="s">
        <v>292</v>
      </c>
      <c r="AC177" s="143" t="s">
        <v>52</v>
      </c>
      <c r="AD177" s="145">
        <v>13317.3</v>
      </c>
      <c r="AE177" s="143" t="s">
        <v>866</v>
      </c>
    </row>
    <row r="178" spans="10:31" ht="12.75" customHeight="1">
      <c r="J178" s="167"/>
      <c r="K178" s="84"/>
      <c r="L178" s="11"/>
      <c r="M178" s="11"/>
      <c r="Z178" s="142">
        <v>67</v>
      </c>
      <c r="AA178" s="143" t="s">
        <v>427</v>
      </c>
      <c r="AB178" t="s">
        <v>292</v>
      </c>
      <c r="AC178" s="143" t="s">
        <v>53</v>
      </c>
      <c r="AD178" s="145">
        <v>4130.96</v>
      </c>
      <c r="AE178" s="143" t="s">
        <v>866</v>
      </c>
    </row>
    <row r="179" spans="10:31" ht="12.75" customHeight="1">
      <c r="J179" s="167"/>
      <c r="K179" s="84"/>
      <c r="L179" s="11"/>
      <c r="M179" s="11"/>
      <c r="Z179" s="142">
        <v>69</v>
      </c>
      <c r="AA179" s="143" t="s">
        <v>428</v>
      </c>
      <c r="AB179" t="s">
        <v>292</v>
      </c>
      <c r="AC179" s="143" t="s">
        <v>54</v>
      </c>
      <c r="AD179" s="145">
        <v>10175</v>
      </c>
      <c r="AE179" s="143" t="s">
        <v>303</v>
      </c>
    </row>
    <row r="180" spans="10:31" ht="12.75" customHeight="1">
      <c r="J180" s="167"/>
      <c r="K180" s="84"/>
      <c r="L180" s="11"/>
      <c r="M180" s="11"/>
      <c r="Z180" s="142">
        <v>70</v>
      </c>
      <c r="AA180" s="143" t="s">
        <v>429</v>
      </c>
      <c r="AB180" t="s">
        <v>292</v>
      </c>
      <c r="AC180" s="143" t="s">
        <v>55</v>
      </c>
      <c r="AD180" s="145">
        <v>10350</v>
      </c>
      <c r="AE180" s="143" t="s">
        <v>303</v>
      </c>
    </row>
    <row r="181" spans="9:31" ht="12.75" customHeight="1">
      <c r="I181" s="167"/>
      <c r="K181" s="200"/>
      <c r="Z181" s="142">
        <v>71</v>
      </c>
      <c r="AA181" s="143" t="s">
        <v>56</v>
      </c>
      <c r="AB181" t="s">
        <v>292</v>
      </c>
      <c r="AC181" s="143" t="s">
        <v>57</v>
      </c>
      <c r="AD181" s="145">
        <v>4716.4</v>
      </c>
      <c r="AE181" s="143" t="s">
        <v>303</v>
      </c>
    </row>
    <row r="182" spans="6:31" ht="12.75" customHeight="1">
      <c r="F182" s="167"/>
      <c r="H182" s="200"/>
      <c r="Z182" s="142">
        <v>75</v>
      </c>
      <c r="AA182" s="143" t="s">
        <v>432</v>
      </c>
      <c r="AB182" t="s">
        <v>292</v>
      </c>
      <c r="AC182" s="143" t="s">
        <v>58</v>
      </c>
      <c r="AD182" s="145">
        <v>1400</v>
      </c>
      <c r="AE182" s="143" t="s">
        <v>816</v>
      </c>
    </row>
    <row r="183" spans="26:31" ht="12.75" customHeight="1">
      <c r="Z183" s="142">
        <v>76</v>
      </c>
      <c r="AA183" s="143" t="s">
        <v>59</v>
      </c>
      <c r="AB183" t="s">
        <v>292</v>
      </c>
      <c r="AC183" s="143" t="s">
        <v>60</v>
      </c>
      <c r="AD183" s="145">
        <v>17200</v>
      </c>
      <c r="AE183" s="143" t="s">
        <v>303</v>
      </c>
    </row>
    <row r="184" spans="26:31" ht="12.75" customHeight="1">
      <c r="Z184" s="142">
        <v>82</v>
      </c>
      <c r="AA184" s="143" t="s">
        <v>297</v>
      </c>
      <c r="AB184" t="s">
        <v>292</v>
      </c>
      <c r="AC184" s="143" t="s">
        <v>61</v>
      </c>
      <c r="AD184" s="145">
        <v>0</v>
      </c>
      <c r="AE184" s="143" t="s">
        <v>284</v>
      </c>
    </row>
    <row r="185" ht="12.75" customHeight="1">
      <c r="P185" s="201" t="s">
        <v>799</v>
      </c>
    </row>
    <row r="186" ht="12.75" customHeight="1"/>
    <row r="187" ht="12.75" customHeight="1"/>
    <row r="188" ht="12.75" customHeight="1"/>
    <row r="189" ht="12.75" customHeight="1"/>
    <row r="190" ht="12.75" customHeight="1"/>
    <row r="191" ht="12.75" customHeight="1"/>
    <row r="192" ht="12.75" customHeight="1"/>
    <row r="193" spans="7:18" ht="12.75" customHeight="1">
      <c r="G193" t="s">
        <v>336</v>
      </c>
      <c r="H193" s="134" t="s">
        <v>217</v>
      </c>
      <c r="I193" s="134" t="s">
        <v>152</v>
      </c>
      <c r="J193" s="135" t="s">
        <v>185</v>
      </c>
      <c r="K193" s="136" t="s">
        <v>239</v>
      </c>
      <c r="L193" s="136" t="s">
        <v>114</v>
      </c>
      <c r="M193" s="136" t="s">
        <v>160</v>
      </c>
      <c r="N193" s="134" t="s">
        <v>801</v>
      </c>
      <c r="O193" t="s">
        <v>137</v>
      </c>
      <c r="P193" s="195" t="s">
        <v>785</v>
      </c>
      <c r="Q193" s="195" t="s">
        <v>786</v>
      </c>
      <c r="R193" s="195" t="s">
        <v>800</v>
      </c>
    </row>
    <row r="194" spans="7:18" ht="12.75" customHeight="1">
      <c r="G194" t="e">
        <f aca="true" t="shared" si="8" ref="G194:G222">DQ$2</f>
        <v>#N/A</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row>
    <row r="195" spans="7:18" ht="12.75">
      <c r="G195" t="e">
        <f t="shared" si="8"/>
        <v>#N/A</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row>
    <row r="196" spans="7:18" ht="12.75">
      <c r="G196" t="e">
        <f t="shared" si="8"/>
        <v>#N/A</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row>
    <row r="197" spans="7:18" ht="12.75">
      <c r="G197" t="e">
        <f t="shared" si="8"/>
        <v>#N/A</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row>
    <row r="198" spans="7:18" ht="12.75">
      <c r="G198" t="e">
        <f t="shared" si="8"/>
        <v>#N/A</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row>
    <row r="199" spans="7:18" ht="12.75">
      <c r="G199" t="e">
        <f t="shared" si="8"/>
        <v>#N/A</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row>
    <row r="200" spans="7:18" ht="12.75">
      <c r="G200" t="e">
        <f t="shared" si="8"/>
        <v>#N/A</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row>
    <row r="201" spans="7:18" ht="12.75">
      <c r="G201" t="e">
        <f t="shared" si="8"/>
        <v>#N/A</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row>
    <row r="202" spans="7:18" ht="12.75">
      <c r="G202" t="e">
        <f t="shared" si="8"/>
        <v>#N/A</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row>
    <row r="203" spans="7:18" ht="12.75">
      <c r="G203" t="e">
        <f t="shared" si="8"/>
        <v>#N/A</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row>
    <row r="204" spans="7:18" ht="12.75">
      <c r="G204" t="e">
        <f t="shared" si="8"/>
        <v>#N/A</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row>
    <row r="205" spans="7:18" ht="12.75">
      <c r="G205" t="e">
        <f t="shared" si="8"/>
        <v>#N/A</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row>
    <row r="206" spans="7:18" ht="12.75">
      <c r="G206" t="e">
        <f t="shared" si="8"/>
        <v>#N/A</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row>
    <row r="207" spans="7:18" ht="12.75">
      <c r="G207" t="e">
        <f t="shared" si="8"/>
        <v>#N/A</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row>
    <row r="208" spans="7:18" ht="12.75">
      <c r="G208" t="e">
        <f t="shared" si="8"/>
        <v>#N/A</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row>
    <row r="209" spans="7:18" ht="12.75">
      <c r="G209" t="e">
        <f t="shared" si="8"/>
        <v>#N/A</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row>
    <row r="210" spans="7:18" ht="12.75">
      <c r="G210" t="e">
        <f t="shared" si="8"/>
        <v>#N/A</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row>
    <row r="211" spans="7:18" ht="12.75">
      <c r="G211" t="e">
        <f t="shared" si="8"/>
        <v>#N/A</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row>
    <row r="212" spans="7:18" ht="12.75">
      <c r="G212" t="e">
        <f t="shared" si="8"/>
        <v>#N/A</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row>
    <row r="213" spans="7:18" ht="12.75">
      <c r="G213" t="e">
        <f t="shared" si="8"/>
        <v>#N/A</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row>
    <row r="214" spans="7:18" ht="12.75">
      <c r="G214" t="e">
        <f t="shared" si="8"/>
        <v>#N/A</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row>
    <row r="215" spans="7:18" ht="12.75">
      <c r="G215" t="e">
        <f t="shared" si="8"/>
        <v>#N/A</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row>
    <row r="216" spans="7:18" ht="12.75">
      <c r="G216" t="e">
        <f t="shared" si="8"/>
        <v>#N/A</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t="b">
        <f>IF('Autres sites'!L37="","",'Autres sites'!L37)</f>
        <v>0</v>
      </c>
    </row>
    <row r="217" spans="7:18" ht="12.75">
      <c r="G217" t="e">
        <f t="shared" si="8"/>
        <v>#N/A</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t="b">
        <f>IF('Autres sites'!L38="","",'Autres sites'!L38)</f>
        <v>0</v>
      </c>
    </row>
    <row r="218" spans="7:18" ht="12.75">
      <c r="G218" t="e">
        <f t="shared" si="8"/>
        <v>#N/A</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t="b">
        <f>IF('Autres sites'!L39="","",'Autres sites'!L39)</f>
        <v>0</v>
      </c>
    </row>
    <row r="219" spans="7:18" ht="12.75">
      <c r="G219" t="e">
        <f t="shared" si="8"/>
        <v>#N/A</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t="b">
        <f>IF('Autres sites'!L40="","",'Autres sites'!L40)</f>
        <v>0</v>
      </c>
    </row>
    <row r="220" spans="7:31" ht="12.75">
      <c r="G220" t="e">
        <f t="shared" si="8"/>
        <v>#N/A</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t="b">
        <f>IF('Autres sites'!L41="","",'Autres sites'!L41)</f>
        <v>0</v>
      </c>
      <c r="AE220">
        <v>5</v>
      </c>
    </row>
    <row r="221" spans="7:31" ht="12.75">
      <c r="G221" t="e">
        <f t="shared" si="8"/>
        <v>#N/A</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t="b">
        <f>IF('Autres sites'!L42="","",'Autres sites'!L42)</f>
        <v>0</v>
      </c>
      <c r="AE221" s="199">
        <v>0.25</v>
      </c>
    </row>
    <row r="222" spans="7:31" ht="12.75">
      <c r="G222" t="e">
        <f t="shared" si="8"/>
        <v>#N/A</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t="b">
        <f>IF('Autres sites'!L43="","",'Autres sites'!L43)</f>
        <v>0</v>
      </c>
      <c r="AE222" s="199">
        <v>0.1</v>
      </c>
    </row>
    <row r="223" spans="28:35" ht="12.75">
      <c r="AB223">
        <v>36403</v>
      </c>
      <c r="AC223" t="s">
        <v>354</v>
      </c>
      <c r="AE223" s="199">
        <v>0.55</v>
      </c>
      <c r="AF223" t="s">
        <v>353</v>
      </c>
      <c r="AH223">
        <v>38.68</v>
      </c>
      <c r="AI223" s="142">
        <v>2789.793</v>
      </c>
    </row>
    <row r="224" ht="26.25" customHeight="1">
      <c r="AU224" s="185"/>
    </row>
    <row r="248" spans="1:8" ht="12.75">
      <c r="A248" t="s">
        <v>336</v>
      </c>
      <c r="B248" t="s">
        <v>787</v>
      </c>
      <c r="C248" t="s">
        <v>764</v>
      </c>
      <c r="D248" t="s">
        <v>765</v>
      </c>
      <c r="E248" t="s">
        <v>766</v>
      </c>
      <c r="F248" t="s">
        <v>618</v>
      </c>
      <c r="G248" t="s">
        <v>619</v>
      </c>
      <c r="H248" t="s">
        <v>620</v>
      </c>
    </row>
    <row r="249" spans="1:8" ht="12.75">
      <c r="A249" t="e">
        <f aca="true" t="shared" si="9" ref="A249:A254">DQ$2</f>
        <v>#N/A</v>
      </c>
      <c r="B249" t="str">
        <f aca="true" t="shared" si="10" ref="B249:D254">A64</f>
        <v>A. Acquisition équipement/matériel</v>
      </c>
      <c r="C249">
        <f t="shared" si="10"/>
        <v>0</v>
      </c>
      <c r="D249" t="e">
        <f t="shared" si="10"/>
        <v>#N/A</v>
      </c>
      <c r="E249" s="240" t="e">
        <f aca="true" t="shared" si="11" ref="E249:E254">D249+C249</f>
        <v>#N/A</v>
      </c>
      <c r="F249" s="240">
        <f aca="true" t="shared" si="12" ref="F249:F254">D64</f>
        <v>0</v>
      </c>
      <c r="G249" s="240" t="e">
        <f aca="true" t="shared" si="13" ref="G249:G254">E64</f>
        <v>#N/A</v>
      </c>
      <c r="H249" s="240" t="e">
        <f aca="true" t="shared" si="14" ref="H249:H254">G249+F249</f>
        <v>#N/A</v>
      </c>
    </row>
    <row r="250" spans="1:8" ht="12.75">
      <c r="A250" t="e">
        <f t="shared" si="9"/>
        <v>#N/A</v>
      </c>
      <c r="B250" t="str">
        <f t="shared" si="10"/>
        <v>B. Acquisition de l'équipement de mesurage</v>
      </c>
      <c r="C250">
        <f t="shared" si="10"/>
        <v>0</v>
      </c>
      <c r="D250">
        <f t="shared" si="10"/>
        <v>0</v>
      </c>
      <c r="E250" s="240">
        <f t="shared" si="11"/>
        <v>0</v>
      </c>
      <c r="F250" s="240">
        <f t="shared" si="12"/>
        <v>0</v>
      </c>
      <c r="G250" s="240">
        <f t="shared" si="13"/>
        <v>0</v>
      </c>
      <c r="H250" s="240">
        <f t="shared" si="14"/>
        <v>0</v>
      </c>
    </row>
    <row r="251" spans="1:8" ht="12.75">
      <c r="A251" t="e">
        <f t="shared" si="9"/>
        <v>#N/A</v>
      </c>
      <c r="B251" t="str">
        <f t="shared" si="10"/>
        <v>C. Mesurage, quantification et vérification</v>
      </c>
      <c r="C251">
        <f t="shared" si="10"/>
        <v>0</v>
      </c>
      <c r="D251">
        <f t="shared" si="10"/>
        <v>0</v>
      </c>
      <c r="E251" s="240">
        <f t="shared" si="11"/>
        <v>0</v>
      </c>
      <c r="F251" s="240">
        <f t="shared" si="12"/>
        <v>0</v>
      </c>
      <c r="G251" s="240">
        <f t="shared" si="13"/>
        <v>0</v>
      </c>
      <c r="H251" s="240">
        <f t="shared" si="14"/>
        <v>0</v>
      </c>
    </row>
    <row r="252" spans="1:8" ht="12.75">
      <c r="A252" t="e">
        <f t="shared" si="9"/>
        <v>#N/A</v>
      </c>
      <c r="B252" t="str">
        <f t="shared" si="10"/>
        <v>D. Ingénierie ou services professionnels</v>
      </c>
      <c r="C252">
        <f t="shared" si="10"/>
        <v>0</v>
      </c>
      <c r="D252">
        <f t="shared" si="10"/>
        <v>0</v>
      </c>
      <c r="E252" s="240">
        <f t="shared" si="11"/>
        <v>0</v>
      </c>
      <c r="F252" s="240">
        <f t="shared" si="12"/>
        <v>0</v>
      </c>
      <c r="G252" s="240">
        <f t="shared" si="13"/>
        <v>0</v>
      </c>
      <c r="H252" s="240">
        <f t="shared" si="14"/>
        <v>0</v>
      </c>
    </row>
    <row r="253" spans="1:8" ht="12.75">
      <c r="A253" t="e">
        <f t="shared" si="9"/>
        <v>#N/A</v>
      </c>
      <c r="B253" t="str">
        <f t="shared" si="10"/>
        <v>E. Installation et mise en fonction</v>
      </c>
      <c r="C253">
        <f t="shared" si="10"/>
        <v>0</v>
      </c>
      <c r="D253">
        <f t="shared" si="10"/>
        <v>0</v>
      </c>
      <c r="E253" s="240">
        <f t="shared" si="11"/>
        <v>0</v>
      </c>
      <c r="F253" s="240">
        <f t="shared" si="12"/>
        <v>0</v>
      </c>
      <c r="G253" s="240">
        <f t="shared" si="13"/>
        <v>0</v>
      </c>
      <c r="H253" s="240">
        <f t="shared" si="14"/>
        <v>0</v>
      </c>
    </row>
    <row r="254" spans="1:8" ht="12.75">
      <c r="A254" t="e">
        <f t="shared" si="9"/>
        <v>#N/A</v>
      </c>
      <c r="B254" t="str">
        <f t="shared" si="10"/>
        <v>F. Contingences</v>
      </c>
      <c r="C254">
        <f t="shared" si="10"/>
        <v>0</v>
      </c>
      <c r="D254">
        <f t="shared" si="10"/>
        <v>0</v>
      </c>
      <c r="E254" s="240">
        <f t="shared" si="11"/>
        <v>0</v>
      </c>
      <c r="F254" s="240">
        <f t="shared" si="12"/>
        <v>0</v>
      </c>
      <c r="G254" s="240">
        <f t="shared" si="13"/>
        <v>0</v>
      </c>
      <c r="H254" s="240">
        <f t="shared" si="14"/>
        <v>0</v>
      </c>
    </row>
    <row r="256" spans="8:12" ht="12.75">
      <c r="H256" t="s">
        <v>1008</v>
      </c>
      <c r="I256" s="273" t="s">
        <v>1014</v>
      </c>
      <c r="J256" t="s">
        <v>1009</v>
      </c>
      <c r="K256" s="273" t="s">
        <v>1026</v>
      </c>
      <c r="L256" s="273" t="s">
        <v>1032</v>
      </c>
    </row>
    <row r="257" spans="1:12" ht="12.75">
      <c r="A257">
        <v>-1</v>
      </c>
      <c r="C257" t="s">
        <v>1004</v>
      </c>
      <c r="G257" t="e">
        <f ca="1">INDEX(OFFSET(Mesures,,5,,),MATCH('1. Demande'!F106,Mesures,0))</f>
        <v>#N/A</v>
      </c>
      <c r="H257" t="e">
        <f ca="1">INDEX(OFFSET(Mesures,,6,,),MATCH('1. Demande'!F106,Mesures,0))</f>
        <v>#N/A</v>
      </c>
      <c r="I257" t="e">
        <f ca="1">INDEX(OFFSET(Mesures,,7,,),MATCH('1. Demande'!F106,Mesures,0))</f>
        <v>#N/A</v>
      </c>
      <c r="J257" t="e">
        <f ca="1">INDEX(OFFSET(Mesures,,8,,),MATCH('1. Demande'!F106,Mesures,0))</f>
        <v>#N/A</v>
      </c>
      <c r="K257" t="e">
        <f ca="1">INDEX(OFFSET(Mesures,,9,,),MATCH('1. Demande'!F106,Mesures,0))</f>
        <v>#N/A</v>
      </c>
      <c r="L257" t="e">
        <f ca="1">INDEX(OFFSET(Mesures,,10,,),MATCH('1. Demande'!F106,Mesures,0))</f>
        <v>#N/A</v>
      </c>
    </row>
    <row r="258" spans="1:12" ht="12.75">
      <c r="A258">
        <v>0</v>
      </c>
      <c r="B258" s="273" t="s">
        <v>184</v>
      </c>
      <c r="F258" s="288" t="s">
        <v>284</v>
      </c>
      <c r="L258" s="273">
        <v>0</v>
      </c>
    </row>
    <row r="259" spans="1:12" ht="27" customHeight="1">
      <c r="A259">
        <v>1</v>
      </c>
      <c r="B259" s="273" t="s">
        <v>950</v>
      </c>
      <c r="C259">
        <v>30000</v>
      </c>
      <c r="F259" s="459" t="s">
        <v>1072</v>
      </c>
      <c r="G259">
        <v>4451</v>
      </c>
      <c r="H259" t="s">
        <v>1010</v>
      </c>
      <c r="I259" t="s">
        <v>1012</v>
      </c>
      <c r="L259" s="273">
        <v>0</v>
      </c>
    </row>
    <row r="260" spans="1:12" ht="12.75">
      <c r="A260">
        <v>2</v>
      </c>
      <c r="B260" s="273" t="s">
        <v>951</v>
      </c>
      <c r="C260">
        <v>0</v>
      </c>
      <c r="D260">
        <v>3.3784</v>
      </c>
      <c r="E260">
        <v>54137</v>
      </c>
      <c r="F260" s="460" t="s">
        <v>1000</v>
      </c>
      <c r="G260">
        <v>111994</v>
      </c>
      <c r="H260" t="s">
        <v>1011</v>
      </c>
      <c r="J260" s="273" t="s">
        <v>1013</v>
      </c>
      <c r="L260" s="273">
        <v>0</v>
      </c>
    </row>
    <row r="261" spans="1:12" ht="12.75">
      <c r="A261">
        <v>3</v>
      </c>
      <c r="B261" s="273" t="s">
        <v>952</v>
      </c>
      <c r="C261">
        <v>0</v>
      </c>
      <c r="D261">
        <v>3.3784</v>
      </c>
      <c r="E261">
        <v>54137</v>
      </c>
      <c r="F261" s="461" t="s">
        <v>1001</v>
      </c>
      <c r="G261">
        <v>111994</v>
      </c>
      <c r="H261" t="s">
        <v>1011</v>
      </c>
      <c r="J261" s="273" t="s">
        <v>1013</v>
      </c>
      <c r="L261" s="273">
        <v>0</v>
      </c>
    </row>
    <row r="262" spans="1:14" ht="12.75">
      <c r="A262">
        <v>4</v>
      </c>
      <c r="B262" s="273" t="s">
        <v>953</v>
      </c>
      <c r="C262">
        <v>0</v>
      </c>
      <c r="D262">
        <v>3.3784</v>
      </c>
      <c r="E262">
        <v>54137</v>
      </c>
      <c r="F262" s="461" t="s">
        <v>1002</v>
      </c>
      <c r="G262">
        <v>111994</v>
      </c>
      <c r="H262" t="s">
        <v>1011</v>
      </c>
      <c r="J262" s="273" t="s">
        <v>1013</v>
      </c>
      <c r="L262" s="273">
        <v>0</v>
      </c>
      <c r="N262" t="s">
        <v>1081</v>
      </c>
    </row>
    <row r="263" spans="1:14" ht="12.75">
      <c r="A263">
        <v>5</v>
      </c>
      <c r="B263" s="273" t="s">
        <v>1019</v>
      </c>
      <c r="C263">
        <v>0</v>
      </c>
      <c r="D263">
        <v>0.97</v>
      </c>
      <c r="E263">
        <v>1</v>
      </c>
      <c r="F263" s="460" t="s">
        <v>1016</v>
      </c>
      <c r="H263" t="s">
        <v>1010</v>
      </c>
      <c r="K263" s="273" t="s">
        <v>1025</v>
      </c>
      <c r="L263" s="273">
        <v>-1</v>
      </c>
      <c r="N263" t="s">
        <v>1102</v>
      </c>
    </row>
    <row r="264" spans="1:14" ht="12.75">
      <c r="A264">
        <v>6</v>
      </c>
      <c r="B264" s="273" t="s">
        <v>1020</v>
      </c>
      <c r="C264">
        <v>0</v>
      </c>
      <c r="D264">
        <v>0.8</v>
      </c>
      <c r="E264">
        <v>0</v>
      </c>
      <c r="F264" s="461" t="s">
        <v>1017</v>
      </c>
      <c r="H264" t="s">
        <v>1010</v>
      </c>
      <c r="K264" s="273" t="s">
        <v>1025</v>
      </c>
      <c r="L264" s="273">
        <v>-1</v>
      </c>
      <c r="N264" t="s">
        <v>1103</v>
      </c>
    </row>
    <row r="265" spans="1:14" ht="12.75">
      <c r="A265">
        <v>7</v>
      </c>
      <c r="B265" s="273" t="s">
        <v>1021</v>
      </c>
      <c r="C265">
        <v>0</v>
      </c>
      <c r="D265">
        <v>0.8</v>
      </c>
      <c r="E265">
        <v>0</v>
      </c>
      <c r="F265" s="461" t="s">
        <v>1018</v>
      </c>
      <c r="H265" t="s">
        <v>1010</v>
      </c>
      <c r="K265" s="273" t="s">
        <v>1025</v>
      </c>
      <c r="L265" s="273">
        <v>-1</v>
      </c>
      <c r="N265" t="s">
        <v>1104</v>
      </c>
    </row>
    <row r="266" spans="1:12" ht="12.75">
      <c r="A266">
        <v>8</v>
      </c>
      <c r="B266" s="273" t="s">
        <v>1040</v>
      </c>
      <c r="C266">
        <v>0</v>
      </c>
      <c r="D266">
        <v>0.8</v>
      </c>
      <c r="E266">
        <v>0</v>
      </c>
      <c r="F266" s="460" t="s">
        <v>1016</v>
      </c>
      <c r="G266">
        <v>1114</v>
      </c>
      <c r="H266" t="s">
        <v>1010</v>
      </c>
      <c r="L266" s="273">
        <v>0</v>
      </c>
    </row>
    <row r="267" ht="12.75">
      <c r="A267">
        <v>9</v>
      </c>
    </row>
    <row r="268" ht="12.75">
      <c r="A268">
        <v>10</v>
      </c>
    </row>
  </sheetData>
  <sheetProtection password="E71A" sheet="1" objects="1" scenarios="1" selectLockedCells="1" selectUnlockedCells="1"/>
  <mergeCells count="2">
    <mergeCell ref="B62:C62"/>
    <mergeCell ref="D62:E62"/>
  </mergeCells>
  <printOptions/>
  <pageMargins left="0.17" right="0.19" top="0.984251969" bottom="0.984251969" header="0.4921259845" footer="0.492125984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Feuil1">
    <tabColor rgb="FF00B050"/>
  </sheetPr>
  <dimension ref="A1:BB186"/>
  <sheetViews>
    <sheetView showOutlineSymbols="0" zoomScale="115" zoomScaleNormal="115" workbookViewId="0" topLeftCell="A44">
      <selection activeCell="F106" sqref="F106:O106"/>
    </sheetView>
  </sheetViews>
  <sheetFormatPr defaultColWidth="11.421875" defaultRowHeight="12.75"/>
  <cols>
    <col min="1" max="1" width="1.28515625" style="0" customWidth="1"/>
    <col min="2" max="2" width="3.28125" style="0" customWidth="1"/>
    <col min="3" max="3" width="0.85546875" style="0" customWidth="1"/>
    <col min="4" max="4" width="3.140625" style="0" customWidth="1"/>
    <col min="5" max="10" width="3.28125" style="0" customWidth="1"/>
    <col min="11" max="11" width="3.8515625" style="0" customWidth="1"/>
    <col min="12" max="17" width="3.28125" style="0" customWidth="1"/>
    <col min="18" max="18" width="3.140625" style="0" customWidth="1"/>
    <col min="19" max="21" width="3.28125" style="0" customWidth="1"/>
    <col min="22" max="22" width="2.7109375" style="0" customWidth="1"/>
    <col min="23" max="23" width="0.42578125" style="0" customWidth="1"/>
    <col min="24" max="24" width="2.8515625" style="0" customWidth="1"/>
    <col min="25" max="26" width="3.28125" style="0" customWidth="1"/>
    <col min="27" max="27" width="3.421875" style="0" customWidth="1"/>
    <col min="28" max="28" width="3.28125" style="0" customWidth="1"/>
    <col min="29" max="30" width="3.57421875" style="0" customWidth="1"/>
    <col min="31" max="31" width="3.421875" style="0" customWidth="1"/>
    <col min="32" max="32" width="3.28125" style="0" customWidth="1"/>
    <col min="33" max="33" width="0.42578125" style="0" customWidth="1"/>
    <col min="34" max="34" width="3.7109375" style="0" customWidth="1"/>
    <col min="35" max="42" width="3.28125" style="0" customWidth="1"/>
    <col min="43" max="43" width="4.421875" style="0" customWidth="1"/>
    <col min="44" max="44" width="1.7109375" style="0" customWidth="1"/>
    <col min="45" max="45" width="3.28125" style="0" customWidth="1"/>
    <col min="46" max="46" width="9.7109375" style="0" customWidth="1"/>
    <col min="47" max="53" width="3.28125" style="0" customWidth="1"/>
  </cols>
  <sheetData>
    <row r="1" spans="2:44" ht="8.2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2:44" ht="45.75" customHeight="1">
      <c r="B2" s="42"/>
      <c r="C2" s="42"/>
      <c r="E2" s="42"/>
      <c r="F2" s="42"/>
      <c r="G2" s="42"/>
      <c r="H2" s="42"/>
      <c r="I2" s="42"/>
      <c r="J2" s="465"/>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2:44" ht="13.5" customHeight="1" thickBot="1">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row>
    <row r="4" spans="1:45" ht="0.75" customHeight="1">
      <c r="A4" s="1"/>
      <c r="B4" s="902" t="s">
        <v>159</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4"/>
      <c r="AS4" s="60"/>
    </row>
    <row r="5" spans="1:46" s="29" customFormat="1" ht="18" customHeight="1" thickBot="1">
      <c r="A5" s="28"/>
      <c r="B5" s="911" t="s">
        <v>1007</v>
      </c>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3"/>
      <c r="AS5" s="61"/>
      <c r="AT5" s="62"/>
    </row>
    <row r="6" spans="1:44" s="29" customFormat="1" ht="15.75" customHeight="1" hidden="1">
      <c r="A6" s="28"/>
      <c r="B6" s="517"/>
      <c r="C6" s="754"/>
      <c r="D6" s="755"/>
      <c r="E6" s="755"/>
      <c r="F6" s="755"/>
      <c r="G6" s="755"/>
      <c r="H6" s="755"/>
      <c r="I6" s="755"/>
      <c r="J6" s="755"/>
      <c r="K6" s="755"/>
      <c r="L6" s="755"/>
      <c r="M6" s="755"/>
      <c r="N6" s="755"/>
      <c r="O6" s="755"/>
      <c r="P6" s="755"/>
      <c r="Q6" s="755"/>
      <c r="R6" s="755"/>
      <c r="S6" s="755"/>
      <c r="T6" s="755"/>
      <c r="U6" s="756"/>
      <c r="V6" s="754"/>
      <c r="W6" s="755"/>
      <c r="X6" s="755"/>
      <c r="Y6" s="755"/>
      <c r="Z6" s="755"/>
      <c r="AA6" s="755"/>
      <c r="AB6" s="755"/>
      <c r="AC6" s="755"/>
      <c r="AD6" s="755"/>
      <c r="AE6" s="755"/>
      <c r="AF6" s="755"/>
      <c r="AG6" s="755"/>
      <c r="AH6" s="755"/>
      <c r="AI6" s="755"/>
      <c r="AJ6" s="755"/>
      <c r="AK6" s="755"/>
      <c r="AL6" s="755"/>
      <c r="AM6" s="755"/>
      <c r="AN6" s="755"/>
      <c r="AO6" s="755"/>
      <c r="AP6" s="755"/>
      <c r="AQ6" s="755"/>
      <c r="AR6" s="756"/>
    </row>
    <row r="7" spans="1:46" s="29" customFormat="1" ht="14.25" customHeight="1" hidden="1">
      <c r="A7" s="28"/>
      <c r="B7" s="517"/>
      <c r="C7" s="754"/>
      <c r="D7" s="755"/>
      <c r="E7" s="755"/>
      <c r="F7" s="755"/>
      <c r="G7" s="755"/>
      <c r="H7" s="755"/>
      <c r="I7" s="755"/>
      <c r="J7" s="755"/>
      <c r="K7" s="755"/>
      <c r="L7" s="755"/>
      <c r="M7" s="755"/>
      <c r="N7" s="755"/>
      <c r="O7" s="755"/>
      <c r="P7" s="755"/>
      <c r="Q7" s="755"/>
      <c r="R7" s="755"/>
      <c r="S7" s="755"/>
      <c r="T7" s="755"/>
      <c r="U7" s="756"/>
      <c r="V7" s="754"/>
      <c r="W7" s="755"/>
      <c r="X7" s="755"/>
      <c r="Y7" s="755"/>
      <c r="Z7" s="755"/>
      <c r="AA7" s="755"/>
      <c r="AB7" s="755"/>
      <c r="AC7" s="755"/>
      <c r="AD7" s="755"/>
      <c r="AE7" s="755"/>
      <c r="AF7" s="755"/>
      <c r="AG7" s="755"/>
      <c r="AH7" s="755"/>
      <c r="AI7" s="755"/>
      <c r="AJ7" s="755"/>
      <c r="AK7" s="755"/>
      <c r="AL7" s="755"/>
      <c r="AM7" s="755"/>
      <c r="AN7" s="755"/>
      <c r="AO7" s="755"/>
      <c r="AP7" s="755"/>
      <c r="AQ7" s="755"/>
      <c r="AR7" s="756"/>
      <c r="AT7" s="62"/>
    </row>
    <row r="8" spans="1:46" s="29" customFormat="1" ht="15.75" customHeight="1" hidden="1">
      <c r="A8" s="28"/>
      <c r="B8" s="517"/>
      <c r="C8" s="754"/>
      <c r="D8" s="755"/>
      <c r="E8" s="755"/>
      <c r="F8" s="755"/>
      <c r="G8" s="755"/>
      <c r="H8" s="755"/>
      <c r="I8" s="755"/>
      <c r="J8" s="755"/>
      <c r="K8" s="755"/>
      <c r="L8" s="755"/>
      <c r="M8" s="755"/>
      <c r="N8" s="755"/>
      <c r="O8" s="755"/>
      <c r="P8" s="755"/>
      <c r="Q8" s="755"/>
      <c r="R8" s="755"/>
      <c r="S8" s="755"/>
      <c r="T8" s="755"/>
      <c r="U8" s="756"/>
      <c r="V8" s="754"/>
      <c r="W8" s="755"/>
      <c r="X8" s="755"/>
      <c r="Y8" s="755"/>
      <c r="Z8" s="755"/>
      <c r="AA8" s="755"/>
      <c r="AB8" s="755"/>
      <c r="AC8" s="755"/>
      <c r="AD8" s="755"/>
      <c r="AE8" s="755"/>
      <c r="AF8" s="755"/>
      <c r="AG8" s="755"/>
      <c r="AH8" s="755"/>
      <c r="AI8" s="755"/>
      <c r="AJ8" s="755"/>
      <c r="AK8" s="755"/>
      <c r="AL8" s="755"/>
      <c r="AM8" s="755"/>
      <c r="AN8" s="755"/>
      <c r="AO8" s="755"/>
      <c r="AP8" s="755"/>
      <c r="AQ8" s="755"/>
      <c r="AR8" s="756"/>
      <c r="AT8" s="62"/>
    </row>
    <row r="9" spans="1:44" s="29" customFormat="1" ht="30" customHeight="1" hidden="1" thickBot="1">
      <c r="A9" s="28"/>
      <c r="B9" s="518"/>
      <c r="C9" s="757"/>
      <c r="D9" s="758"/>
      <c r="E9" s="758"/>
      <c r="F9" s="758"/>
      <c r="G9" s="758"/>
      <c r="H9" s="758"/>
      <c r="I9" s="758"/>
      <c r="J9" s="758"/>
      <c r="K9" s="758"/>
      <c r="L9" s="758"/>
      <c r="M9" s="758"/>
      <c r="N9" s="758"/>
      <c r="O9" s="758"/>
      <c r="P9" s="758"/>
      <c r="Q9" s="758"/>
      <c r="R9" s="758"/>
      <c r="S9" s="758"/>
      <c r="T9" s="758"/>
      <c r="U9" s="759"/>
      <c r="V9" s="757"/>
      <c r="W9" s="758"/>
      <c r="X9" s="758"/>
      <c r="Y9" s="758"/>
      <c r="Z9" s="758"/>
      <c r="AA9" s="758"/>
      <c r="AB9" s="758"/>
      <c r="AC9" s="758"/>
      <c r="AD9" s="758"/>
      <c r="AE9" s="758"/>
      <c r="AF9" s="758"/>
      <c r="AG9" s="758"/>
      <c r="AH9" s="758"/>
      <c r="AI9" s="758"/>
      <c r="AJ9" s="758"/>
      <c r="AK9" s="758"/>
      <c r="AL9" s="758"/>
      <c r="AM9" s="758"/>
      <c r="AN9" s="758"/>
      <c r="AO9" s="758"/>
      <c r="AP9" s="758"/>
      <c r="AQ9" s="758"/>
      <c r="AR9" s="759"/>
    </row>
    <row r="10" spans="1:44" ht="3" customHeight="1">
      <c r="A10" s="1"/>
      <c r="B10" s="887" t="s">
        <v>936</v>
      </c>
      <c r="C10" s="519"/>
      <c r="D10" s="520"/>
      <c r="E10" s="520"/>
      <c r="F10" s="520"/>
      <c r="G10" s="520"/>
      <c r="H10" s="520"/>
      <c r="I10" s="520"/>
      <c r="J10" s="520"/>
      <c r="K10" s="520"/>
      <c r="L10" s="520"/>
      <c r="M10" s="520"/>
      <c r="N10" s="520"/>
      <c r="O10" s="520"/>
      <c r="P10" s="520"/>
      <c r="Q10" s="521"/>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2"/>
    </row>
    <row r="11" spans="1:44" ht="12.75" customHeight="1">
      <c r="A11" s="1"/>
      <c r="B11" s="888"/>
      <c r="C11" s="523" t="s">
        <v>145</v>
      </c>
      <c r="D11" s="524" t="s">
        <v>32</v>
      </c>
      <c r="E11" s="525"/>
      <c r="F11" s="525"/>
      <c r="G11" s="525"/>
      <c r="H11" s="899">
        <f>IF(Demande!B7="","",Demande!B7)</f>
      </c>
      <c r="I11" s="900"/>
      <c r="J11" s="900"/>
      <c r="K11" s="900"/>
      <c r="L11" s="900"/>
      <c r="M11" s="900"/>
      <c r="N11" s="900"/>
      <c r="O11" s="900"/>
      <c r="P11" s="900"/>
      <c r="Q11" s="900"/>
      <c r="R11" s="900"/>
      <c r="S11" s="900"/>
      <c r="T11" s="900"/>
      <c r="U11" s="900"/>
      <c r="V11" s="900"/>
      <c r="W11" s="900"/>
      <c r="X11" s="900"/>
      <c r="Y11" s="900"/>
      <c r="Z11" s="900"/>
      <c r="AA11" s="900"/>
      <c r="AB11" s="900"/>
      <c r="AC11" s="900"/>
      <c r="AD11" s="901"/>
      <c r="AE11" s="526"/>
      <c r="AF11" s="525"/>
      <c r="AG11" s="525"/>
      <c r="AH11" s="525"/>
      <c r="AI11" s="527"/>
      <c r="AJ11" s="527"/>
      <c r="AK11" s="528"/>
      <c r="AL11" s="872"/>
      <c r="AM11" s="872"/>
      <c r="AN11" s="872"/>
      <c r="AO11" s="872"/>
      <c r="AP11" s="872"/>
      <c r="AQ11" s="872"/>
      <c r="AR11" s="529"/>
    </row>
    <row r="12" spans="1:44" ht="3" customHeight="1">
      <c r="A12" s="1"/>
      <c r="B12" s="888"/>
      <c r="C12" s="523"/>
      <c r="D12" s="524"/>
      <c r="E12" s="525"/>
      <c r="F12" s="525"/>
      <c r="G12" s="525"/>
      <c r="H12" s="527"/>
      <c r="I12" s="527"/>
      <c r="J12" s="527"/>
      <c r="K12" s="527"/>
      <c r="L12" s="527"/>
      <c r="M12" s="527"/>
      <c r="N12" s="527"/>
      <c r="O12" s="527"/>
      <c r="P12" s="527"/>
      <c r="Q12" s="527"/>
      <c r="R12" s="527"/>
      <c r="S12" s="527"/>
      <c r="T12" s="527"/>
      <c r="U12" s="527"/>
      <c r="V12" s="527"/>
      <c r="W12" s="527"/>
      <c r="X12" s="527"/>
      <c r="Y12" s="527"/>
      <c r="Z12" s="527"/>
      <c r="AA12" s="527"/>
      <c r="AB12" s="527"/>
      <c r="AC12" s="527"/>
      <c r="AD12" s="530"/>
      <c r="AR12" s="529"/>
    </row>
    <row r="13" spans="1:44" ht="12.75" customHeight="1">
      <c r="A13" s="1"/>
      <c r="B13" s="888"/>
      <c r="C13" s="523"/>
      <c r="D13" s="524" t="s">
        <v>114</v>
      </c>
      <c r="E13" s="525"/>
      <c r="F13" s="525"/>
      <c r="G13" s="525"/>
      <c r="H13" s="899">
        <f>IF(Demande!B9="","",Demande!B9)</f>
      </c>
      <c r="I13" s="900"/>
      <c r="J13" s="900"/>
      <c r="K13" s="900"/>
      <c r="L13" s="900"/>
      <c r="M13" s="900"/>
      <c r="N13" s="900"/>
      <c r="O13" s="900"/>
      <c r="P13" s="900"/>
      <c r="Q13" s="900"/>
      <c r="R13" s="900"/>
      <c r="S13" s="900"/>
      <c r="T13" s="900"/>
      <c r="U13" s="900"/>
      <c r="V13" s="900"/>
      <c r="W13" s="900"/>
      <c r="X13" s="900"/>
      <c r="Y13" s="900"/>
      <c r="Z13" s="900"/>
      <c r="AA13" s="900"/>
      <c r="AB13" s="900"/>
      <c r="AC13" s="900"/>
      <c r="AD13" s="901"/>
      <c r="AE13" s="526" t="s">
        <v>217</v>
      </c>
      <c r="AF13" s="525"/>
      <c r="AG13" s="525"/>
      <c r="AH13" s="525"/>
      <c r="AI13" s="527"/>
      <c r="AJ13" s="527"/>
      <c r="AK13" s="528"/>
      <c r="AL13" s="863">
        <f>IF(Demande!I7="","",Demande!I7)</f>
      </c>
      <c r="AM13" s="864"/>
      <c r="AN13" s="864"/>
      <c r="AO13" s="864"/>
      <c r="AP13" s="864"/>
      <c r="AQ13" s="865"/>
      <c r="AR13" s="529"/>
    </row>
    <row r="14" spans="1:44" ht="3" customHeight="1">
      <c r="A14" s="1"/>
      <c r="B14" s="888"/>
      <c r="C14" s="523"/>
      <c r="D14" s="524"/>
      <c r="E14" s="525"/>
      <c r="F14" s="525"/>
      <c r="G14" s="525"/>
      <c r="H14" s="531"/>
      <c r="I14" s="531"/>
      <c r="J14" s="531"/>
      <c r="K14" s="531"/>
      <c r="L14" s="531"/>
      <c r="M14" s="531"/>
      <c r="N14" s="531"/>
      <c r="O14" s="531"/>
      <c r="P14" s="531"/>
      <c r="Q14" s="531"/>
      <c r="R14" s="531"/>
      <c r="S14" s="531"/>
      <c r="T14" s="531"/>
      <c r="U14" s="531"/>
      <c r="V14" s="531"/>
      <c r="W14" s="531"/>
      <c r="X14" s="531"/>
      <c r="Y14" s="525"/>
      <c r="Z14" s="525"/>
      <c r="AA14" s="525"/>
      <c r="AB14" s="525"/>
      <c r="AC14" s="532"/>
      <c r="AD14" s="530"/>
      <c r="AE14" s="530"/>
      <c r="AF14" s="530"/>
      <c r="AG14" s="530"/>
      <c r="AH14" s="530"/>
      <c r="AI14" s="533"/>
      <c r="AJ14" s="533"/>
      <c r="AK14" s="533"/>
      <c r="AL14" s="533"/>
      <c r="AM14" s="533"/>
      <c r="AN14" s="533"/>
      <c r="AO14" s="533"/>
      <c r="AP14" s="525"/>
      <c r="AQ14" s="525"/>
      <c r="AR14" s="529"/>
    </row>
    <row r="15" spans="1:44" ht="12.75" customHeight="1">
      <c r="A15" s="1"/>
      <c r="B15" s="888"/>
      <c r="C15" s="534"/>
      <c r="D15" s="524" t="s">
        <v>160</v>
      </c>
      <c r="E15" s="525"/>
      <c r="F15" s="525"/>
      <c r="G15" s="525"/>
      <c r="H15" s="899">
        <f>IF(Demande!B11="","",Demande!B11)</f>
      </c>
      <c r="I15" s="900"/>
      <c r="J15" s="900"/>
      <c r="K15" s="900"/>
      <c r="L15" s="900"/>
      <c r="M15" s="900"/>
      <c r="N15" s="900"/>
      <c r="O15" s="900"/>
      <c r="P15" s="900"/>
      <c r="Q15" s="900"/>
      <c r="R15" s="900"/>
      <c r="S15" s="900"/>
      <c r="T15" s="900"/>
      <c r="U15" s="901"/>
      <c r="V15" s="525"/>
      <c r="W15" s="525"/>
      <c r="X15" s="525"/>
      <c r="Y15" s="535" t="s">
        <v>116</v>
      </c>
      <c r="Z15" s="892">
        <f>IF(Demande!I11="","",Demande!I11)</f>
      </c>
      <c r="AA15" s="870"/>
      <c r="AB15" s="870"/>
      <c r="AC15" s="870"/>
      <c r="AD15" s="871"/>
      <c r="AE15" s="526" t="s">
        <v>171</v>
      </c>
      <c r="AF15" s="525"/>
      <c r="AG15" s="525"/>
      <c r="AH15" s="525"/>
      <c r="AI15" s="527"/>
      <c r="AJ15" s="527"/>
      <c r="AK15" s="528"/>
      <c r="AL15" s="863">
        <v>0</v>
      </c>
      <c r="AM15" s="864"/>
      <c r="AN15" s="864"/>
      <c r="AO15" s="864"/>
      <c r="AP15" s="864"/>
      <c r="AQ15" s="865"/>
      <c r="AR15" s="529"/>
    </row>
    <row r="16" spans="1:44" ht="3" customHeight="1">
      <c r="A16" s="1"/>
      <c r="B16" s="888"/>
      <c r="C16" s="534"/>
      <c r="D16" s="525"/>
      <c r="E16" s="525"/>
      <c r="F16" s="525"/>
      <c r="G16" s="525"/>
      <c r="H16" s="536"/>
      <c r="I16" s="536"/>
      <c r="J16" s="536"/>
      <c r="K16" s="536"/>
      <c r="L16" s="536"/>
      <c r="M16" s="536"/>
      <c r="N16" s="536"/>
      <c r="O16" s="536"/>
      <c r="P16" s="536"/>
      <c r="Q16" s="536"/>
      <c r="R16" s="536"/>
      <c r="S16" s="536"/>
      <c r="T16" s="536"/>
      <c r="U16" s="207"/>
      <c r="V16" s="525"/>
      <c r="W16" s="525"/>
      <c r="X16" s="525"/>
      <c r="Y16" s="528"/>
      <c r="Z16" s="471"/>
      <c r="AA16" s="471"/>
      <c r="AB16" s="471"/>
      <c r="AC16" s="471"/>
      <c r="AD16" s="471"/>
      <c r="AE16" s="531"/>
      <c r="AF16" s="525"/>
      <c r="AG16" s="525"/>
      <c r="AH16" s="525"/>
      <c r="AI16" s="527"/>
      <c r="AJ16" s="527"/>
      <c r="AK16" s="528"/>
      <c r="AL16" s="537"/>
      <c r="AM16" s="537"/>
      <c r="AN16" s="537"/>
      <c r="AO16" s="537"/>
      <c r="AP16" s="537"/>
      <c r="AQ16" s="537"/>
      <c r="AR16" s="529"/>
    </row>
    <row r="17" spans="1:44" ht="13.5" customHeight="1">
      <c r="A17" s="1"/>
      <c r="B17" s="888"/>
      <c r="C17" s="534"/>
      <c r="D17" s="922" t="s">
        <v>170</v>
      </c>
      <c r="E17" s="923"/>
      <c r="F17" s="923"/>
      <c r="G17" s="923"/>
      <c r="H17" s="923"/>
      <c r="I17" s="923"/>
      <c r="J17" s="923"/>
      <c r="K17" s="923"/>
      <c r="L17" s="923"/>
      <c r="M17" s="923"/>
      <c r="N17" s="923"/>
      <c r="O17" s="923"/>
      <c r="P17" s="923"/>
      <c r="Q17" s="923"/>
      <c r="R17" s="923"/>
      <c r="S17" s="923"/>
      <c r="T17" s="923"/>
      <c r="U17" s="923"/>
      <c r="V17" s="207"/>
      <c r="W17" s="207"/>
      <c r="X17" s="207"/>
      <c r="Y17" s="538"/>
      <c r="Z17" s="471"/>
      <c r="AA17" s="471"/>
      <c r="AB17" s="471"/>
      <c r="AC17" s="471"/>
      <c r="AD17" s="479" t="b">
        <v>1</v>
      </c>
      <c r="AE17" s="539"/>
      <c r="AF17" s="207"/>
      <c r="AG17" s="207"/>
      <c r="AH17" s="207"/>
      <c r="AI17" s="536"/>
      <c r="AJ17" s="536"/>
      <c r="AK17" s="538"/>
      <c r="AL17" s="537"/>
      <c r="AM17" s="537"/>
      <c r="AN17" s="537"/>
      <c r="AO17" s="537"/>
      <c r="AP17" s="537"/>
      <c r="AQ17" s="537"/>
      <c r="AR17" s="529"/>
    </row>
    <row r="18" spans="1:44" ht="44.25" customHeight="1" thickBot="1">
      <c r="A18" s="1"/>
      <c r="B18" s="889"/>
      <c r="C18" s="540"/>
      <c r="AQ18" s="525"/>
      <c r="AR18" s="529"/>
    </row>
    <row r="19" spans="1:44" ht="3" customHeight="1">
      <c r="A19" s="1"/>
      <c r="B19" s="888" t="s">
        <v>937</v>
      </c>
      <c r="C19" s="534"/>
      <c r="D19" s="541"/>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2"/>
    </row>
    <row r="20" spans="1:44" ht="12.75" customHeight="1">
      <c r="A20" s="1"/>
      <c r="B20" s="890"/>
      <c r="C20" s="534"/>
      <c r="D20" s="524" t="s">
        <v>176</v>
      </c>
      <c r="E20" s="525"/>
      <c r="H20" s="919" t="str">
        <f>Demande!B17</f>
        <v>Choisir…</v>
      </c>
      <c r="I20" s="920"/>
      <c r="J20" s="921"/>
      <c r="L20" s="535" t="s">
        <v>177</v>
      </c>
      <c r="M20" s="893">
        <f>IF(Demande!C17="","",Demande!C17)</f>
      </c>
      <c r="N20" s="894"/>
      <c r="O20" s="894"/>
      <c r="P20" s="894"/>
      <c r="Q20" s="894"/>
      <c r="R20" s="894"/>
      <c r="S20" s="894"/>
      <c r="T20" s="894"/>
      <c r="U20" s="894"/>
      <c r="V20" s="894"/>
      <c r="W20" s="894"/>
      <c r="X20" s="894"/>
      <c r="Y20" s="894"/>
      <c r="Z20" s="895"/>
      <c r="AA20" s="524" t="s">
        <v>181</v>
      </c>
      <c r="AC20" s="866">
        <f>IF(Demande!G17="","",Demande!G17)</f>
      </c>
      <c r="AD20" s="867"/>
      <c r="AE20" s="867"/>
      <c r="AF20" s="867"/>
      <c r="AG20" s="867"/>
      <c r="AH20" s="867"/>
      <c r="AI20" s="867"/>
      <c r="AJ20" s="867"/>
      <c r="AK20" s="867"/>
      <c r="AL20" s="867"/>
      <c r="AM20" s="867"/>
      <c r="AN20" s="867"/>
      <c r="AO20" s="868"/>
      <c r="AP20" s="893"/>
      <c r="AQ20" s="895"/>
      <c r="AR20" s="529"/>
    </row>
    <row r="21" spans="1:44" ht="3.75" customHeight="1">
      <c r="A21" s="1"/>
      <c r="B21" s="890"/>
      <c r="C21" s="534"/>
      <c r="D21" s="524"/>
      <c r="E21" s="525"/>
      <c r="F21" s="525"/>
      <c r="G21" s="525"/>
      <c r="H21" s="525"/>
      <c r="I21" s="525"/>
      <c r="J21" s="525"/>
      <c r="K21" s="207"/>
      <c r="L21" s="542"/>
      <c r="M21" s="542"/>
      <c r="N21" s="542"/>
      <c r="O21" s="542"/>
      <c r="P21" s="542"/>
      <c r="Q21" s="542"/>
      <c r="R21" s="542"/>
      <c r="S21" s="542"/>
      <c r="T21" s="542"/>
      <c r="U21" s="542"/>
      <c r="V21" s="542"/>
      <c r="W21" s="542"/>
      <c r="X21" s="542"/>
      <c r="Y21" s="542"/>
      <c r="Z21" s="542"/>
      <c r="AA21" s="542"/>
      <c r="AB21" s="542"/>
      <c r="AC21" s="542"/>
      <c r="AD21" s="543"/>
      <c r="AE21" s="207"/>
      <c r="AF21" s="207"/>
      <c r="AG21" s="207"/>
      <c r="AH21" s="207"/>
      <c r="AI21" s="544"/>
      <c r="AJ21" s="544"/>
      <c r="AK21" s="544"/>
      <c r="AL21" s="544"/>
      <c r="AM21" s="544"/>
      <c r="AN21" s="544"/>
      <c r="AO21" s="544"/>
      <c r="AP21" s="545"/>
      <c r="AQ21" s="546"/>
      <c r="AR21" s="529"/>
    </row>
    <row r="22" spans="1:44" ht="12.75" customHeight="1">
      <c r="A22" s="1"/>
      <c r="B22" s="890"/>
      <c r="D22" s="524" t="s">
        <v>112</v>
      </c>
      <c r="E22" s="525"/>
      <c r="F22" s="525"/>
      <c r="G22" s="525"/>
      <c r="H22" s="886">
        <f>IF(Demande!B19="","",Demande!B19)</f>
      </c>
      <c r="I22" s="879"/>
      <c r="J22" s="879"/>
      <c r="K22" s="879"/>
      <c r="L22" s="879"/>
      <c r="M22" s="879"/>
      <c r="N22" s="879"/>
      <c r="O22" s="879"/>
      <c r="P22" s="879"/>
      <c r="Q22" s="879"/>
      <c r="R22" s="879"/>
      <c r="S22" s="879"/>
      <c r="T22" s="879"/>
      <c r="U22" s="879"/>
      <c r="V22" s="879"/>
      <c r="W22" s="879"/>
      <c r="X22" s="879"/>
      <c r="Y22" s="879"/>
      <c r="Z22" s="880"/>
      <c r="AA22" s="524" t="s">
        <v>182</v>
      </c>
      <c r="AB22" s="547"/>
      <c r="AC22" s="878">
        <f>IF(Demande!B21="","",Demande!B21)</f>
      </c>
      <c r="AD22" s="879"/>
      <c r="AE22" s="879"/>
      <c r="AF22" s="879"/>
      <c r="AG22" s="879"/>
      <c r="AH22" s="879"/>
      <c r="AI22" s="879"/>
      <c r="AJ22" s="879"/>
      <c r="AK22" s="879"/>
      <c r="AL22" s="879"/>
      <c r="AM22" s="879"/>
      <c r="AN22" s="879"/>
      <c r="AO22" s="880"/>
      <c r="AP22" s="548"/>
      <c r="AR22" s="529"/>
    </row>
    <row r="23" spans="1:44" ht="3" customHeight="1">
      <c r="A23" s="1"/>
      <c r="B23" s="890"/>
      <c r="C23" s="534"/>
      <c r="D23" s="549"/>
      <c r="E23" s="550"/>
      <c r="F23" s="550"/>
      <c r="G23" s="550"/>
      <c r="H23" s="551"/>
      <c r="I23" s="551"/>
      <c r="J23" s="551"/>
      <c r="K23" s="551"/>
      <c r="L23" s="551"/>
      <c r="M23" s="551"/>
      <c r="N23" s="551"/>
      <c r="O23" s="551"/>
      <c r="P23" s="551"/>
      <c r="Q23" s="551"/>
      <c r="R23" s="551"/>
      <c r="S23" s="551"/>
      <c r="T23" s="551"/>
      <c r="U23" s="551"/>
      <c r="V23" s="551"/>
      <c r="W23" s="551"/>
      <c r="X23" s="551"/>
      <c r="Y23" s="550"/>
      <c r="Z23" s="550"/>
      <c r="AA23" s="550"/>
      <c r="AB23" s="550"/>
      <c r="AC23" s="550"/>
      <c r="AD23" s="549"/>
      <c r="AE23" s="525"/>
      <c r="AF23" s="525"/>
      <c r="AG23" s="525"/>
      <c r="AH23" s="525"/>
      <c r="AI23" s="525"/>
      <c r="AJ23" s="525"/>
      <c r="AK23" s="525"/>
      <c r="AL23" s="525"/>
      <c r="AM23" s="525"/>
      <c r="AN23" s="525"/>
      <c r="AO23" s="525"/>
      <c r="AP23" s="525"/>
      <c r="AR23" s="529"/>
    </row>
    <row r="24" spans="1:44" ht="12.75" customHeight="1">
      <c r="A24" s="1"/>
      <c r="B24" s="890"/>
      <c r="C24" s="534"/>
      <c r="D24" s="524" t="s">
        <v>137</v>
      </c>
      <c r="E24" s="525"/>
      <c r="F24" s="525"/>
      <c r="G24" s="525"/>
      <c r="H24" s="893">
        <f>IF(Demande!E19="","",Demande!E19)</f>
      </c>
      <c r="I24" s="894"/>
      <c r="J24" s="894"/>
      <c r="K24" s="894"/>
      <c r="L24" s="894"/>
      <c r="M24" s="894"/>
      <c r="N24" s="894"/>
      <c r="O24" s="894"/>
      <c r="P24" s="894"/>
      <c r="Q24" s="894"/>
      <c r="R24" s="894"/>
      <c r="S24" s="894"/>
      <c r="T24" s="894"/>
      <c r="U24" s="894"/>
      <c r="V24" s="894"/>
      <c r="W24" s="894"/>
      <c r="X24" s="894"/>
      <c r="Y24" s="894"/>
      <c r="Z24" s="894"/>
      <c r="AA24" s="894"/>
      <c r="AB24" s="894"/>
      <c r="AC24" s="895"/>
      <c r="AD24" s="526" t="s">
        <v>217</v>
      </c>
      <c r="AE24" s="525"/>
      <c r="AF24" s="525"/>
      <c r="AG24" s="525"/>
      <c r="AH24" s="527"/>
      <c r="AI24" s="863">
        <f>IF(Demande!I19="","",Demande!I19)</f>
      </c>
      <c r="AJ24" s="864"/>
      <c r="AK24" s="864"/>
      <c r="AL24" s="864"/>
      <c r="AM24" s="864"/>
      <c r="AN24" s="864"/>
      <c r="AO24" s="865"/>
      <c r="AQ24" s="552" t="s">
        <v>113</v>
      </c>
      <c r="AR24" s="529"/>
    </row>
    <row r="25" spans="1:44" ht="3" customHeight="1">
      <c r="A25" s="1"/>
      <c r="B25" s="890"/>
      <c r="C25" s="534"/>
      <c r="AR25" s="529"/>
    </row>
    <row r="26" spans="1:44" ht="12.75" customHeight="1">
      <c r="A26" s="1"/>
      <c r="B26" s="890"/>
      <c r="C26" s="534"/>
      <c r="D26" s="524" t="s">
        <v>114</v>
      </c>
      <c r="E26" s="525"/>
      <c r="F26" s="525"/>
      <c r="G26" s="525"/>
      <c r="H26" s="893">
        <f>IF(Demande!B23="","",Demande!B23)</f>
      </c>
      <c r="I26" s="894"/>
      <c r="J26" s="894"/>
      <c r="K26" s="894"/>
      <c r="L26" s="894"/>
      <c r="M26" s="894"/>
      <c r="N26" s="894"/>
      <c r="O26" s="894"/>
      <c r="P26" s="894"/>
      <c r="Q26" s="894"/>
      <c r="R26" s="894"/>
      <c r="S26" s="894"/>
      <c r="T26" s="894"/>
      <c r="U26" s="894"/>
      <c r="V26" s="894"/>
      <c r="W26" s="894"/>
      <c r="X26" s="894"/>
      <c r="Y26" s="894"/>
      <c r="Z26" s="894"/>
      <c r="AA26" s="894"/>
      <c r="AB26" s="894"/>
      <c r="AC26" s="895"/>
      <c r="AD26" s="526" t="s">
        <v>115</v>
      </c>
      <c r="AE26" s="525"/>
      <c r="AF26" s="525"/>
      <c r="AG26" s="525"/>
      <c r="AH26" s="525"/>
      <c r="AI26" s="863">
        <f>IF(Demande!G21="","",Demande!G21)</f>
      </c>
      <c r="AJ26" s="864"/>
      <c r="AK26" s="864"/>
      <c r="AL26" s="864"/>
      <c r="AM26" s="864"/>
      <c r="AN26" s="864"/>
      <c r="AO26" s="865"/>
      <c r="AP26" s="525"/>
      <c r="AQ26" s="12">
        <f>IF(Demande!H21="","",Demande!H21)</f>
      </c>
      <c r="AR26" s="529"/>
    </row>
    <row r="27" spans="1:44" ht="3" customHeight="1">
      <c r="A27" s="1"/>
      <c r="B27" s="890"/>
      <c r="C27" s="534"/>
      <c r="D27" s="524"/>
      <c r="E27" s="525"/>
      <c r="F27" s="525"/>
      <c r="G27" s="525"/>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c r="AE27" s="207"/>
      <c r="AF27" s="207"/>
      <c r="AG27" s="207"/>
      <c r="AH27" s="207"/>
      <c r="AI27" s="544"/>
      <c r="AJ27" s="544"/>
      <c r="AK27" s="544"/>
      <c r="AL27" s="544"/>
      <c r="AM27" s="544"/>
      <c r="AN27" s="544"/>
      <c r="AO27" s="544"/>
      <c r="AP27" s="207"/>
      <c r="AQ27" s="553"/>
      <c r="AR27" s="529"/>
    </row>
    <row r="28" spans="1:44" ht="12.75" customHeight="1">
      <c r="A28" s="1"/>
      <c r="B28" s="890"/>
      <c r="C28" s="534"/>
      <c r="D28" s="524" t="s">
        <v>160</v>
      </c>
      <c r="E28" s="525"/>
      <c r="F28" s="525"/>
      <c r="G28" s="525"/>
      <c r="H28" s="899">
        <f>IF(Demande!B25="","",Demande!B25)</f>
      </c>
      <c r="I28" s="900"/>
      <c r="J28" s="900"/>
      <c r="K28" s="900"/>
      <c r="L28" s="900"/>
      <c r="M28" s="900"/>
      <c r="N28" s="900"/>
      <c r="O28" s="900"/>
      <c r="P28" s="900"/>
      <c r="Q28" s="900"/>
      <c r="R28" s="900"/>
      <c r="S28" s="900"/>
      <c r="T28" s="900"/>
      <c r="U28" s="901"/>
      <c r="V28" s="525"/>
      <c r="W28" s="525"/>
      <c r="X28" s="525"/>
      <c r="Y28" s="535" t="s">
        <v>116</v>
      </c>
      <c r="Z28" s="896">
        <f>IF(Demande!I25="","",Demande!I25)</f>
      </c>
      <c r="AA28" s="897"/>
      <c r="AB28" s="897"/>
      <c r="AC28" s="898"/>
      <c r="AD28" s="526" t="s">
        <v>222</v>
      </c>
      <c r="AE28" s="525"/>
      <c r="AF28" s="525"/>
      <c r="AG28" s="525"/>
      <c r="AH28" s="525"/>
      <c r="AI28" s="863">
        <f>IF(Demande!I21="","",Demande!I21)</f>
      </c>
      <c r="AJ28" s="864"/>
      <c r="AK28" s="864"/>
      <c r="AL28" s="864"/>
      <c r="AM28" s="864"/>
      <c r="AN28" s="864"/>
      <c r="AO28" s="865"/>
      <c r="AP28" s="525"/>
      <c r="AQ28" s="525"/>
      <c r="AR28" s="529"/>
    </row>
    <row r="29" spans="1:44" ht="3" customHeight="1">
      <c r="A29" s="1"/>
      <c r="B29" s="890"/>
      <c r="C29" s="534"/>
      <c r="D29" s="524"/>
      <c r="E29" s="525"/>
      <c r="F29" s="525"/>
      <c r="G29" s="525"/>
      <c r="H29" s="554"/>
      <c r="I29" s="554"/>
      <c r="J29" s="554"/>
      <c r="K29" s="554"/>
      <c r="L29" s="554"/>
      <c r="M29" s="554"/>
      <c r="N29" s="554"/>
      <c r="O29" s="554"/>
      <c r="P29" s="554"/>
      <c r="Q29" s="554"/>
      <c r="R29" s="554"/>
      <c r="S29" s="554"/>
      <c r="T29" s="524"/>
      <c r="U29" s="525"/>
      <c r="V29" s="525"/>
      <c r="W29" s="525"/>
      <c r="X29" s="525"/>
      <c r="Y29" s="544"/>
      <c r="Z29" s="544"/>
      <c r="AA29" s="544"/>
      <c r="AB29" s="544"/>
      <c r="AC29" s="544"/>
      <c r="AD29" s="543"/>
      <c r="AE29" s="207"/>
      <c r="AF29" s="207"/>
      <c r="AG29" s="207"/>
      <c r="AH29" s="207"/>
      <c r="AI29" s="544"/>
      <c r="AJ29" s="544"/>
      <c r="AK29" s="544"/>
      <c r="AL29" s="544"/>
      <c r="AM29" s="544"/>
      <c r="AN29" s="544"/>
      <c r="AO29" s="544"/>
      <c r="AP29" s="207"/>
      <c r="AQ29" s="207"/>
      <c r="AR29" s="529"/>
    </row>
    <row r="30" spans="1:44" ht="12.75" customHeight="1">
      <c r="A30" s="1"/>
      <c r="B30" s="890"/>
      <c r="C30" s="534"/>
      <c r="E30" s="525"/>
      <c r="F30" s="525"/>
      <c r="G30" s="525"/>
      <c r="H30" s="542"/>
      <c r="I30" s="542"/>
      <c r="J30" s="542"/>
      <c r="K30" s="542"/>
      <c r="L30" s="542"/>
      <c r="M30" s="542"/>
      <c r="N30" s="542"/>
      <c r="O30" s="542"/>
      <c r="P30" s="542"/>
      <c r="Q30" s="542"/>
      <c r="R30" s="542"/>
      <c r="S30" s="542"/>
      <c r="T30" s="555"/>
      <c r="U30" s="207"/>
      <c r="V30" s="207"/>
      <c r="W30" s="207"/>
      <c r="X30" s="207"/>
      <c r="Y30" s="544"/>
      <c r="Z30" s="544"/>
      <c r="AA30" s="544"/>
      <c r="AB30" s="544"/>
      <c r="AC30" s="544"/>
      <c r="AD30" s="97"/>
      <c r="AE30" s="207"/>
      <c r="AF30" s="207"/>
      <c r="AG30" s="207"/>
      <c r="AH30" s="207"/>
      <c r="AI30" s="544"/>
      <c r="AJ30" s="544"/>
      <c r="AK30" s="544"/>
      <c r="AL30" s="544"/>
      <c r="AM30" s="544"/>
      <c r="AN30" s="544"/>
      <c r="AO30" s="556"/>
      <c r="AP30" s="207"/>
      <c r="AQ30" s="207"/>
      <c r="AR30" s="529"/>
    </row>
    <row r="31" spans="1:44" ht="3" customHeight="1" thickBot="1">
      <c r="A31" s="1"/>
      <c r="B31" s="891"/>
      <c r="C31" s="540"/>
      <c r="D31" s="557"/>
      <c r="E31" s="557"/>
      <c r="F31" s="557"/>
      <c r="G31" s="557"/>
      <c r="H31" s="557"/>
      <c r="I31" s="557"/>
      <c r="J31" s="557"/>
      <c r="K31" s="557"/>
      <c r="L31" s="557"/>
      <c r="M31" s="557"/>
      <c r="N31" s="557"/>
      <c r="O31" s="557"/>
      <c r="P31" s="557"/>
      <c r="Q31" s="558"/>
      <c r="R31" s="557"/>
      <c r="S31" s="557"/>
      <c r="T31" s="557"/>
      <c r="U31" s="557"/>
      <c r="V31" s="557"/>
      <c r="W31" s="557"/>
      <c r="X31" s="550"/>
      <c r="Y31" s="557"/>
      <c r="Z31" s="557"/>
      <c r="AA31" s="557"/>
      <c r="AB31" s="557"/>
      <c r="AC31" s="557"/>
      <c r="AD31" s="559"/>
      <c r="AE31" s="560"/>
      <c r="AF31" s="560"/>
      <c r="AG31" s="560"/>
      <c r="AH31" s="560"/>
      <c r="AI31" s="560"/>
      <c r="AJ31" s="560"/>
      <c r="AK31" s="560"/>
      <c r="AL31" s="560"/>
      <c r="AM31" s="560"/>
      <c r="AN31" s="560"/>
      <c r="AO31" s="560"/>
      <c r="AP31" s="560"/>
      <c r="AQ31" s="560"/>
      <c r="AR31" s="561"/>
    </row>
    <row r="32" spans="1:44" ht="3" customHeight="1">
      <c r="A32" s="1"/>
      <c r="B32" s="888" t="s">
        <v>938</v>
      </c>
      <c r="C32" s="534"/>
      <c r="D32" s="541"/>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2"/>
    </row>
    <row r="33" spans="1:44" ht="9.75" customHeight="1">
      <c r="A33" s="1"/>
      <c r="B33" s="888"/>
      <c r="C33" s="534"/>
      <c r="D33" s="524"/>
      <c r="E33" s="525"/>
      <c r="F33" s="525"/>
      <c r="G33" s="525"/>
      <c r="H33" s="935" t="s">
        <v>1052</v>
      </c>
      <c r="I33" s="935"/>
      <c r="J33" s="935"/>
      <c r="K33" s="935"/>
      <c r="L33" s="935"/>
      <c r="M33" s="935"/>
      <c r="N33" s="935"/>
      <c r="O33" s="935"/>
      <c r="P33" s="935"/>
      <c r="Q33" s="935"/>
      <c r="R33" s="935"/>
      <c r="S33" s="935"/>
      <c r="T33" s="935"/>
      <c r="U33" s="935"/>
      <c r="V33" s="935"/>
      <c r="W33" s="935"/>
      <c r="X33" s="935"/>
      <c r="Y33" s="935"/>
      <c r="Z33" s="935"/>
      <c r="AA33" s="525"/>
      <c r="AB33" s="525"/>
      <c r="AC33" s="525"/>
      <c r="AD33" s="525"/>
      <c r="AE33" s="525"/>
      <c r="AF33" s="525"/>
      <c r="AG33" s="525"/>
      <c r="AH33" s="525"/>
      <c r="AI33" s="525"/>
      <c r="AJ33" s="525"/>
      <c r="AK33" s="525"/>
      <c r="AL33" s="525"/>
      <c r="AM33" s="525"/>
      <c r="AN33" s="525"/>
      <c r="AO33" s="535"/>
      <c r="AP33" s="924"/>
      <c r="AQ33" s="924"/>
      <c r="AR33" s="529"/>
    </row>
    <row r="34" spans="1:44" ht="3" customHeight="1">
      <c r="A34" s="1"/>
      <c r="B34" s="888"/>
      <c r="C34" s="534"/>
      <c r="D34" s="524"/>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9"/>
    </row>
    <row r="35" spans="1:44" ht="12.75" customHeight="1">
      <c r="A35" s="23"/>
      <c r="B35" s="890"/>
      <c r="C35" s="534"/>
      <c r="D35" s="524" t="s">
        <v>176</v>
      </c>
      <c r="E35" s="525"/>
      <c r="H35" s="919" t="str">
        <f>Demande!B30</f>
        <v>Choisir…</v>
      </c>
      <c r="I35" s="920"/>
      <c r="J35" s="921"/>
      <c r="K35" s="524"/>
      <c r="L35" s="535" t="s">
        <v>177</v>
      </c>
      <c r="M35" s="893">
        <f>IF(Demande!C30="","",Demande!C30)</f>
      </c>
      <c r="N35" s="894"/>
      <c r="O35" s="894"/>
      <c r="P35" s="894"/>
      <c r="Q35" s="894"/>
      <c r="R35" s="894"/>
      <c r="S35" s="894"/>
      <c r="T35" s="894"/>
      <c r="U35" s="894"/>
      <c r="V35" s="894"/>
      <c r="W35" s="894"/>
      <c r="X35" s="894"/>
      <c r="Y35" s="894"/>
      <c r="Z35" s="895"/>
      <c r="AA35" s="524" t="s">
        <v>181</v>
      </c>
      <c r="AC35" s="866">
        <f>IF(Demande!G30="","",Demande!G30)</f>
      </c>
      <c r="AD35" s="867"/>
      <c r="AE35" s="867"/>
      <c r="AF35" s="867"/>
      <c r="AG35" s="867"/>
      <c r="AH35" s="867"/>
      <c r="AI35" s="867"/>
      <c r="AJ35" s="867"/>
      <c r="AK35" s="867"/>
      <c r="AL35" s="867"/>
      <c r="AM35" s="867"/>
      <c r="AN35" s="867"/>
      <c r="AO35" s="868"/>
      <c r="AP35" s="893"/>
      <c r="AQ35" s="895"/>
      <c r="AR35" s="529"/>
    </row>
    <row r="36" spans="1:44" ht="3" customHeight="1">
      <c r="A36" s="23"/>
      <c r="B36" s="890"/>
      <c r="C36" s="534"/>
      <c r="D36" s="524"/>
      <c r="E36" s="525"/>
      <c r="F36" s="525"/>
      <c r="G36" s="525"/>
      <c r="H36" s="525"/>
      <c r="I36" s="525"/>
      <c r="J36" s="525"/>
      <c r="K36" s="207"/>
      <c r="L36" s="542"/>
      <c r="M36" s="542"/>
      <c r="N36" s="542"/>
      <c r="O36" s="542"/>
      <c r="P36" s="542"/>
      <c r="Q36" s="542"/>
      <c r="R36" s="542"/>
      <c r="S36" s="542"/>
      <c r="T36" s="542"/>
      <c r="U36" s="542"/>
      <c r="V36" s="542"/>
      <c r="W36" s="542"/>
      <c r="X36" s="542"/>
      <c r="Y36" s="542"/>
      <c r="Z36" s="542"/>
      <c r="AA36" s="542"/>
      <c r="AB36" s="542"/>
      <c r="AC36" s="542"/>
      <c r="AD36" s="543"/>
      <c r="AE36" s="207"/>
      <c r="AF36" s="207"/>
      <c r="AG36" s="207"/>
      <c r="AH36" s="207"/>
      <c r="AI36" s="544"/>
      <c r="AJ36" s="544"/>
      <c r="AK36" s="544"/>
      <c r="AL36" s="544"/>
      <c r="AM36" s="544"/>
      <c r="AN36" s="544"/>
      <c r="AO36" s="544"/>
      <c r="AP36" s="545"/>
      <c r="AQ36" s="546"/>
      <c r="AR36" s="529"/>
    </row>
    <row r="37" spans="1:44" ht="12.75" customHeight="1">
      <c r="A37" s="23"/>
      <c r="B37" s="890"/>
      <c r="D37" s="524" t="s">
        <v>112</v>
      </c>
      <c r="E37" s="525"/>
      <c r="F37" s="525"/>
      <c r="G37" s="525"/>
      <c r="H37" s="886">
        <f>IF(Demande!B32="","",Demande!B32)</f>
      </c>
      <c r="I37" s="879"/>
      <c r="J37" s="879"/>
      <c r="K37" s="879"/>
      <c r="L37" s="879"/>
      <c r="M37" s="879"/>
      <c r="N37" s="879"/>
      <c r="O37" s="879"/>
      <c r="P37" s="879"/>
      <c r="Q37" s="879"/>
      <c r="R37" s="879"/>
      <c r="S37" s="879"/>
      <c r="T37" s="879"/>
      <c r="U37" s="879"/>
      <c r="V37" s="879"/>
      <c r="W37" s="879"/>
      <c r="X37" s="879"/>
      <c r="Y37" s="879"/>
      <c r="Z37" s="880"/>
      <c r="AA37" s="524" t="s">
        <v>182</v>
      </c>
      <c r="AB37" s="547"/>
      <c r="AC37" s="878">
        <f>IF(Demande!B34="","",Demande!B34)</f>
      </c>
      <c r="AD37" s="879"/>
      <c r="AE37" s="879"/>
      <c r="AF37" s="879"/>
      <c r="AG37" s="879"/>
      <c r="AH37" s="879"/>
      <c r="AI37" s="879"/>
      <c r="AJ37" s="879"/>
      <c r="AK37" s="879"/>
      <c r="AL37" s="879"/>
      <c r="AM37" s="879"/>
      <c r="AN37" s="879"/>
      <c r="AO37" s="880"/>
      <c r="AR37" s="529"/>
    </row>
    <row r="38" spans="1:44" ht="3" customHeight="1">
      <c r="A38" s="23"/>
      <c r="B38" s="890"/>
      <c r="C38" s="534"/>
      <c r="D38" s="549"/>
      <c r="E38" s="550"/>
      <c r="F38" s="550"/>
      <c r="G38" s="550"/>
      <c r="H38" s="551"/>
      <c r="I38" s="551"/>
      <c r="J38" s="551"/>
      <c r="K38" s="551"/>
      <c r="L38" s="551"/>
      <c r="M38" s="551"/>
      <c r="N38" s="551"/>
      <c r="O38" s="551"/>
      <c r="P38" s="551"/>
      <c r="Q38" s="551"/>
      <c r="R38" s="551"/>
      <c r="S38" s="551"/>
      <c r="T38" s="551"/>
      <c r="U38" s="551"/>
      <c r="V38" s="551"/>
      <c r="W38" s="551"/>
      <c r="X38" s="551"/>
      <c r="Y38" s="550"/>
      <c r="Z38" s="550"/>
      <c r="AA38" s="550"/>
      <c r="AB38" s="550"/>
      <c r="AC38" s="550"/>
      <c r="AD38" s="549"/>
      <c r="AE38" s="525"/>
      <c r="AF38" s="525"/>
      <c r="AG38" s="525"/>
      <c r="AH38" s="525"/>
      <c r="AI38" s="525"/>
      <c r="AJ38" s="525"/>
      <c r="AK38" s="525"/>
      <c r="AL38" s="525"/>
      <c r="AM38" s="525"/>
      <c r="AN38" s="525"/>
      <c r="AO38" s="525"/>
      <c r="AP38" s="525"/>
      <c r="AR38" s="529"/>
    </row>
    <row r="39" spans="1:45" ht="12.75" customHeight="1">
      <c r="A39" s="23"/>
      <c r="B39" s="890"/>
      <c r="C39" s="534"/>
      <c r="D39" s="524" t="s">
        <v>137</v>
      </c>
      <c r="E39" s="525"/>
      <c r="F39" s="525"/>
      <c r="G39" s="525"/>
      <c r="H39" s="893">
        <f>IF(Demande!E32="","",Demande!E32)</f>
      </c>
      <c r="I39" s="894"/>
      <c r="J39" s="894"/>
      <c r="K39" s="894"/>
      <c r="L39" s="894"/>
      <c r="M39" s="894"/>
      <c r="N39" s="894"/>
      <c r="O39" s="894"/>
      <c r="P39" s="894"/>
      <c r="Q39" s="894"/>
      <c r="R39" s="894"/>
      <c r="S39" s="894"/>
      <c r="T39" s="894"/>
      <c r="U39" s="894"/>
      <c r="V39" s="894"/>
      <c r="W39" s="894"/>
      <c r="X39" s="894"/>
      <c r="Y39" s="894"/>
      <c r="Z39" s="894"/>
      <c r="AA39" s="894"/>
      <c r="AB39" s="894"/>
      <c r="AC39" s="895"/>
      <c r="AD39" s="526" t="s">
        <v>217</v>
      </c>
      <c r="AE39" s="525"/>
      <c r="AF39" s="525"/>
      <c r="AG39" s="525"/>
      <c r="AH39" s="527"/>
      <c r="AI39" s="863">
        <f>IF(Demande!I32="","",Demande!I32)</f>
      </c>
      <c r="AJ39" s="864"/>
      <c r="AK39" s="864"/>
      <c r="AL39" s="864"/>
      <c r="AM39" s="864"/>
      <c r="AN39" s="864"/>
      <c r="AO39" s="865"/>
      <c r="AQ39" s="552" t="s">
        <v>113</v>
      </c>
      <c r="AR39" s="529"/>
      <c r="AS39" s="24"/>
    </row>
    <row r="40" spans="1:44" ht="2.25" customHeight="1">
      <c r="A40" s="1"/>
      <c r="B40" s="890"/>
      <c r="C40" s="534"/>
      <c r="AR40" s="529"/>
    </row>
    <row r="41" spans="1:45" ht="12.75" customHeight="1">
      <c r="A41" s="1"/>
      <c r="B41" s="890"/>
      <c r="C41" s="534"/>
      <c r="D41" s="524" t="s">
        <v>114</v>
      </c>
      <c r="E41" s="525"/>
      <c r="F41" s="525"/>
      <c r="G41" s="525"/>
      <c r="H41" s="893">
        <f>IF(Demande!B36="","",Demande!B36)</f>
      </c>
      <c r="I41" s="894"/>
      <c r="J41" s="894"/>
      <c r="K41" s="894"/>
      <c r="L41" s="894"/>
      <c r="M41" s="894"/>
      <c r="N41" s="894"/>
      <c r="O41" s="894"/>
      <c r="P41" s="894"/>
      <c r="Q41" s="894"/>
      <c r="R41" s="894"/>
      <c r="S41" s="894"/>
      <c r="T41" s="894"/>
      <c r="U41" s="894"/>
      <c r="V41" s="894"/>
      <c r="W41" s="894"/>
      <c r="X41" s="894"/>
      <c r="Y41" s="894"/>
      <c r="Z41" s="894"/>
      <c r="AA41" s="894"/>
      <c r="AB41" s="894"/>
      <c r="AC41" s="895"/>
      <c r="AD41" s="526" t="s">
        <v>115</v>
      </c>
      <c r="AE41" s="525"/>
      <c r="AF41" s="525"/>
      <c r="AG41" s="525"/>
      <c r="AH41" s="525"/>
      <c r="AI41" s="863">
        <f>IF(Demande!G34="","",Demande!G34)</f>
      </c>
      <c r="AJ41" s="864"/>
      <c r="AK41" s="864"/>
      <c r="AL41" s="864"/>
      <c r="AM41" s="864"/>
      <c r="AN41" s="864"/>
      <c r="AO41" s="865"/>
      <c r="AP41" s="525"/>
      <c r="AQ41" s="12">
        <f>IF(Demande!H34="","",Demande!H34)</f>
      </c>
      <c r="AR41" s="529"/>
      <c r="AS41" s="25"/>
    </row>
    <row r="42" spans="1:44" ht="2.25" customHeight="1">
      <c r="A42" s="23"/>
      <c r="B42" s="890"/>
      <c r="C42" s="534"/>
      <c r="D42" s="524"/>
      <c r="E42" s="525"/>
      <c r="F42" s="525"/>
      <c r="G42" s="525"/>
      <c r="H42" s="542"/>
      <c r="I42" s="542"/>
      <c r="J42" s="542"/>
      <c r="K42" s="542"/>
      <c r="L42" s="542"/>
      <c r="M42" s="542"/>
      <c r="N42" s="542"/>
      <c r="O42" s="542"/>
      <c r="P42" s="542"/>
      <c r="Q42" s="542"/>
      <c r="R42" s="542"/>
      <c r="S42" s="542"/>
      <c r="T42" s="542"/>
      <c r="U42" s="542"/>
      <c r="V42" s="542"/>
      <c r="W42" s="542"/>
      <c r="X42" s="542"/>
      <c r="Y42" s="542"/>
      <c r="Z42" s="542"/>
      <c r="AA42" s="542"/>
      <c r="AB42" s="542"/>
      <c r="AC42" s="542"/>
      <c r="AD42" s="543"/>
      <c r="AE42" s="207"/>
      <c r="AF42" s="207"/>
      <c r="AG42" s="207"/>
      <c r="AH42" s="207"/>
      <c r="AI42" s="544"/>
      <c r="AJ42" s="544"/>
      <c r="AK42" s="544"/>
      <c r="AL42" s="544"/>
      <c r="AM42" s="544"/>
      <c r="AN42" s="544"/>
      <c r="AO42" s="544"/>
      <c r="AP42" s="207"/>
      <c r="AQ42" s="553"/>
      <c r="AR42" s="529"/>
    </row>
    <row r="43" spans="1:44" ht="12.75" customHeight="1">
      <c r="A43" s="23"/>
      <c r="B43" s="890"/>
      <c r="C43" s="534"/>
      <c r="D43" s="524" t="s">
        <v>160</v>
      </c>
      <c r="E43" s="525"/>
      <c r="F43" s="525"/>
      <c r="G43" s="525"/>
      <c r="H43" s="899">
        <f>IF(Demande!B38="","",Demande!B38)</f>
      </c>
      <c r="I43" s="900"/>
      <c r="J43" s="900"/>
      <c r="K43" s="900"/>
      <c r="L43" s="900"/>
      <c r="M43" s="900"/>
      <c r="N43" s="900"/>
      <c r="O43" s="900"/>
      <c r="P43" s="900"/>
      <c r="Q43" s="900"/>
      <c r="R43" s="900"/>
      <c r="S43" s="900"/>
      <c r="T43" s="900"/>
      <c r="U43" s="901"/>
      <c r="V43" s="525"/>
      <c r="W43" s="525"/>
      <c r="X43" s="525"/>
      <c r="Y43" s="535" t="s">
        <v>116</v>
      </c>
      <c r="Z43" s="896">
        <f>IF(Demande!I38="","",Demande!I38)</f>
      </c>
      <c r="AA43" s="897"/>
      <c r="AB43" s="897"/>
      <c r="AC43" s="898"/>
      <c r="AD43" s="526" t="s">
        <v>222</v>
      </c>
      <c r="AE43" s="525"/>
      <c r="AF43" s="525"/>
      <c r="AG43" s="525"/>
      <c r="AH43" s="525"/>
      <c r="AI43" s="863">
        <f>IF(Demande!I34="","",Demande!I34)</f>
      </c>
      <c r="AJ43" s="864"/>
      <c r="AK43" s="864"/>
      <c r="AL43" s="864"/>
      <c r="AM43" s="864"/>
      <c r="AN43" s="864"/>
      <c r="AO43" s="865"/>
      <c r="AP43" s="525"/>
      <c r="AQ43" s="525"/>
      <c r="AR43" s="529"/>
    </row>
    <row r="44" spans="1:44" ht="3" customHeight="1" thickBot="1">
      <c r="A44" s="23"/>
      <c r="B44" s="891"/>
      <c r="C44" s="540"/>
      <c r="D44" s="557"/>
      <c r="E44" s="557"/>
      <c r="F44" s="557"/>
      <c r="G44" s="557"/>
      <c r="H44" s="557"/>
      <c r="I44" s="557"/>
      <c r="J44" s="557"/>
      <c r="K44" s="557"/>
      <c r="L44" s="557"/>
      <c r="M44" s="557"/>
      <c r="N44" s="557"/>
      <c r="O44" s="557"/>
      <c r="P44" s="557"/>
      <c r="Q44" s="558"/>
      <c r="R44" s="557"/>
      <c r="S44" s="557"/>
      <c r="T44" s="557"/>
      <c r="U44" s="557"/>
      <c r="V44" s="557"/>
      <c r="W44" s="557"/>
      <c r="X44" s="550"/>
      <c r="Y44" s="557"/>
      <c r="Z44" s="557"/>
      <c r="AA44" s="557"/>
      <c r="AB44" s="557"/>
      <c r="AC44" s="557"/>
      <c r="AD44" s="559"/>
      <c r="AE44" s="560"/>
      <c r="AF44" s="560"/>
      <c r="AG44" s="560"/>
      <c r="AH44" s="560"/>
      <c r="AI44" s="560"/>
      <c r="AJ44" s="560"/>
      <c r="AK44" s="560"/>
      <c r="AL44" s="560"/>
      <c r="AM44" s="560"/>
      <c r="AN44" s="560"/>
      <c r="AO44" s="560"/>
      <c r="AP44" s="560"/>
      <c r="AQ44" s="560"/>
      <c r="AR44" s="561"/>
    </row>
    <row r="45" spans="1:44" ht="4.5" customHeight="1" hidden="1">
      <c r="A45" s="1"/>
      <c r="B45" s="764" t="s">
        <v>939</v>
      </c>
      <c r="C45" s="11"/>
      <c r="D45" s="71"/>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18"/>
    </row>
    <row r="46" spans="1:44" ht="12.75" customHeight="1" hidden="1">
      <c r="A46" s="23"/>
      <c r="B46" s="765"/>
      <c r="C46" s="11"/>
      <c r="D46" s="17" t="s">
        <v>176</v>
      </c>
      <c r="E46" s="6"/>
      <c r="F46" s="30"/>
      <c r="G46" s="30"/>
      <c r="H46" s="919" t="s">
        <v>184</v>
      </c>
      <c r="I46" s="920"/>
      <c r="J46" s="921"/>
      <c r="K46" s="36"/>
      <c r="L46" s="75" t="s">
        <v>177</v>
      </c>
      <c r="M46" s="893"/>
      <c r="N46" s="894"/>
      <c r="O46" s="894"/>
      <c r="P46" s="894"/>
      <c r="Q46" s="894"/>
      <c r="R46" s="894"/>
      <c r="S46" s="894"/>
      <c r="T46" s="894"/>
      <c r="U46" s="894"/>
      <c r="V46" s="894"/>
      <c r="W46" s="894"/>
      <c r="X46" s="894"/>
      <c r="Y46" s="894"/>
      <c r="Z46" s="895"/>
      <c r="AA46" s="17" t="s">
        <v>181</v>
      </c>
      <c r="AB46" s="30"/>
      <c r="AC46" s="866"/>
      <c r="AD46" s="867"/>
      <c r="AE46" s="867"/>
      <c r="AF46" s="867"/>
      <c r="AG46" s="867"/>
      <c r="AH46" s="867"/>
      <c r="AI46" s="867"/>
      <c r="AJ46" s="867"/>
      <c r="AK46" s="867"/>
      <c r="AL46" s="867"/>
      <c r="AM46" s="867"/>
      <c r="AN46" s="867"/>
      <c r="AO46" s="868"/>
      <c r="AP46" s="893"/>
      <c r="AQ46" s="895"/>
      <c r="AR46" s="8"/>
    </row>
    <row r="47" spans="1:44" ht="3" customHeight="1" hidden="1">
      <c r="A47" s="23"/>
      <c r="B47" s="765"/>
      <c r="C47" s="11"/>
      <c r="D47" s="17"/>
      <c r="E47" s="6"/>
      <c r="F47" s="6"/>
      <c r="G47" s="6"/>
      <c r="H47" s="6"/>
      <c r="I47" s="6"/>
      <c r="J47" s="6"/>
      <c r="K47" s="207"/>
      <c r="L47" s="210"/>
      <c r="M47" s="210"/>
      <c r="N47" s="210"/>
      <c r="O47" s="210"/>
      <c r="P47" s="210"/>
      <c r="Q47" s="210"/>
      <c r="R47" s="210"/>
      <c r="S47" s="210"/>
      <c r="T47" s="210"/>
      <c r="U47" s="210"/>
      <c r="V47" s="210"/>
      <c r="W47" s="210"/>
      <c r="X47" s="210"/>
      <c r="Y47" s="210"/>
      <c r="Z47" s="210"/>
      <c r="AA47" s="210"/>
      <c r="AB47" s="210"/>
      <c r="AC47" s="210"/>
      <c r="AD47" s="209"/>
      <c r="AE47" s="207"/>
      <c r="AF47" s="167"/>
      <c r="AG47" s="207"/>
      <c r="AH47" s="207"/>
      <c r="AI47" s="208"/>
      <c r="AJ47" s="208"/>
      <c r="AK47" s="208"/>
      <c r="AL47" s="208"/>
      <c r="AM47" s="208"/>
      <c r="AN47" s="208"/>
      <c r="AO47" s="208"/>
      <c r="AP47" s="247"/>
      <c r="AQ47" s="248"/>
      <c r="AR47" s="214"/>
    </row>
    <row r="48" spans="1:44" ht="12.75" customHeight="1" hidden="1">
      <c r="A48" s="23"/>
      <c r="B48" s="765"/>
      <c r="D48" s="17" t="s">
        <v>112</v>
      </c>
      <c r="E48" s="1"/>
      <c r="F48" s="6"/>
      <c r="G48" s="1"/>
      <c r="H48" s="886"/>
      <c r="I48" s="879"/>
      <c r="J48" s="879"/>
      <c r="K48" s="879"/>
      <c r="L48" s="879"/>
      <c r="M48" s="879"/>
      <c r="N48" s="879"/>
      <c r="O48" s="879"/>
      <c r="P48" s="879"/>
      <c r="Q48" s="879"/>
      <c r="R48" s="879"/>
      <c r="S48" s="879"/>
      <c r="T48" s="879"/>
      <c r="U48" s="879"/>
      <c r="V48" s="879"/>
      <c r="W48" s="879"/>
      <c r="X48" s="879"/>
      <c r="Y48" s="879"/>
      <c r="Z48" s="880"/>
      <c r="AA48" s="17" t="s">
        <v>182</v>
      </c>
      <c r="AB48" s="206"/>
      <c r="AC48" s="873"/>
      <c r="AD48" s="874"/>
      <c r="AE48" s="874"/>
      <c r="AF48" s="874"/>
      <c r="AG48" s="874"/>
      <c r="AH48" s="874"/>
      <c r="AI48" s="874"/>
      <c r="AJ48" s="874"/>
      <c r="AK48" s="874"/>
      <c r="AL48" s="874"/>
      <c r="AM48" s="874"/>
      <c r="AN48" s="874"/>
      <c r="AO48" s="875"/>
      <c r="AR48" s="8"/>
    </row>
    <row r="49" spans="1:44" ht="3" customHeight="1" hidden="1">
      <c r="A49" s="23"/>
      <c r="B49" s="765"/>
      <c r="C49" s="11"/>
      <c r="D49" s="66"/>
      <c r="E49" s="2"/>
      <c r="F49" s="2"/>
      <c r="G49" s="2"/>
      <c r="H49" s="20"/>
      <c r="I49" s="20"/>
      <c r="J49" s="20"/>
      <c r="K49" s="20"/>
      <c r="L49" s="20"/>
      <c r="M49" s="20"/>
      <c r="N49" s="20"/>
      <c r="O49" s="20"/>
      <c r="P49" s="20"/>
      <c r="Q49" s="20"/>
      <c r="R49" s="20"/>
      <c r="S49" s="20"/>
      <c r="T49" s="20"/>
      <c r="U49" s="20"/>
      <c r="V49" s="20"/>
      <c r="W49" s="20"/>
      <c r="X49" s="20"/>
      <c r="Y49" s="2"/>
      <c r="Z49" s="2"/>
      <c r="AA49" s="2"/>
      <c r="AB49" s="2"/>
      <c r="AC49" s="2"/>
      <c r="AD49" s="66"/>
      <c r="AE49" s="6"/>
      <c r="AF49" s="6"/>
      <c r="AG49" s="6"/>
      <c r="AH49" s="6"/>
      <c r="AI49" s="6"/>
      <c r="AJ49" s="6"/>
      <c r="AK49" s="6"/>
      <c r="AL49" s="6"/>
      <c r="AM49" s="6"/>
      <c r="AN49" s="6"/>
      <c r="AO49" s="6"/>
      <c r="AP49" s="6"/>
      <c r="AR49" s="8"/>
    </row>
    <row r="50" spans="1:45" ht="14.25" customHeight="1" hidden="1">
      <c r="A50" s="23"/>
      <c r="B50" s="765"/>
      <c r="C50" s="11"/>
      <c r="D50" s="17" t="s">
        <v>172</v>
      </c>
      <c r="E50" s="6"/>
      <c r="F50" s="6"/>
      <c r="G50" s="6"/>
      <c r="H50" s="893"/>
      <c r="I50" s="894"/>
      <c r="J50" s="894"/>
      <c r="K50" s="894"/>
      <c r="L50" s="894"/>
      <c r="M50" s="894"/>
      <c r="N50" s="894"/>
      <c r="O50" s="894"/>
      <c r="P50" s="894"/>
      <c r="Q50" s="894"/>
      <c r="R50" s="894"/>
      <c r="S50" s="894"/>
      <c r="T50" s="894"/>
      <c r="U50" s="894"/>
      <c r="V50" s="894"/>
      <c r="W50" s="894"/>
      <c r="X50" s="894"/>
      <c r="Y50" s="894"/>
      <c r="Z50" s="894"/>
      <c r="AA50" s="894"/>
      <c r="AB50" s="894"/>
      <c r="AC50" s="895"/>
      <c r="AD50" s="37" t="s">
        <v>183</v>
      </c>
      <c r="AE50" s="1"/>
      <c r="AF50" s="1"/>
      <c r="AG50" s="1"/>
      <c r="AH50" s="65"/>
      <c r="AI50" s="863"/>
      <c r="AJ50" s="864"/>
      <c r="AK50" s="864"/>
      <c r="AL50" s="864"/>
      <c r="AM50" s="864"/>
      <c r="AN50" s="864"/>
      <c r="AO50" s="865"/>
      <c r="AQ50" s="27" t="s">
        <v>113</v>
      </c>
      <c r="AR50" s="8"/>
      <c r="AS50" s="24"/>
    </row>
    <row r="51" spans="1:44" ht="2.25" customHeight="1" hidden="1">
      <c r="A51" s="1"/>
      <c r="B51" s="765"/>
      <c r="C51" s="11"/>
      <c r="AR51" s="8"/>
    </row>
    <row r="52" spans="1:45" ht="14.25" customHeight="1" hidden="1">
      <c r="A52" s="1"/>
      <c r="B52" s="765"/>
      <c r="C52" s="11"/>
      <c r="D52" s="17" t="s">
        <v>173</v>
      </c>
      <c r="E52" s="6"/>
      <c r="F52" s="6"/>
      <c r="G52" s="6"/>
      <c r="H52" s="893"/>
      <c r="I52" s="894"/>
      <c r="J52" s="894"/>
      <c r="K52" s="894"/>
      <c r="L52" s="894"/>
      <c r="M52" s="894"/>
      <c r="N52" s="894"/>
      <c r="O52" s="894"/>
      <c r="P52" s="894"/>
      <c r="Q52" s="894"/>
      <c r="R52" s="894"/>
      <c r="S52" s="894"/>
      <c r="T52" s="894"/>
      <c r="U52" s="894"/>
      <c r="V52" s="894"/>
      <c r="W52" s="894"/>
      <c r="X52" s="894"/>
      <c r="Y52" s="894"/>
      <c r="Z52" s="894"/>
      <c r="AA52" s="894"/>
      <c r="AB52" s="894"/>
      <c r="AC52" s="895"/>
      <c r="AD52" s="37" t="s">
        <v>115</v>
      </c>
      <c r="AE52" s="1"/>
      <c r="AF52" s="1"/>
      <c r="AG52" s="1"/>
      <c r="AH52" s="1"/>
      <c r="AI52" s="863"/>
      <c r="AJ52" s="864"/>
      <c r="AK52" s="864"/>
      <c r="AL52" s="864"/>
      <c r="AM52" s="864"/>
      <c r="AN52" s="864"/>
      <c r="AO52" s="865"/>
      <c r="AP52" s="1"/>
      <c r="AQ52" s="12"/>
      <c r="AR52" s="8"/>
      <c r="AS52" s="25"/>
    </row>
    <row r="53" spans="1:44" ht="3" customHeight="1" hidden="1">
      <c r="A53" s="23"/>
      <c r="B53" s="765"/>
      <c r="C53" s="11"/>
      <c r="D53" s="17"/>
      <c r="E53" s="6"/>
      <c r="F53" s="6"/>
      <c r="G53" s="6"/>
      <c r="H53" s="210"/>
      <c r="I53" s="210"/>
      <c r="J53" s="210"/>
      <c r="K53" s="210"/>
      <c r="L53" s="210"/>
      <c r="M53" s="210"/>
      <c r="N53" s="210"/>
      <c r="O53" s="210"/>
      <c r="P53" s="210"/>
      <c r="Q53" s="210"/>
      <c r="R53" s="210"/>
      <c r="S53" s="210"/>
      <c r="T53" s="210"/>
      <c r="U53" s="210"/>
      <c r="V53" s="210"/>
      <c r="W53" s="210"/>
      <c r="X53" s="210"/>
      <c r="Y53" s="210"/>
      <c r="Z53" s="210"/>
      <c r="AA53" s="210"/>
      <c r="AB53" s="210"/>
      <c r="AC53" s="210"/>
      <c r="AD53" s="209"/>
      <c r="AE53" s="207"/>
      <c r="AF53" s="207"/>
      <c r="AG53" s="207"/>
      <c r="AH53" s="207"/>
      <c r="AI53" s="208"/>
      <c r="AJ53" s="208"/>
      <c r="AK53" s="208"/>
      <c r="AL53" s="208"/>
      <c r="AM53" s="208"/>
      <c r="AN53" s="208"/>
      <c r="AO53" s="208"/>
      <c r="AP53" s="207"/>
      <c r="AQ53" s="213"/>
      <c r="AR53" s="214"/>
    </row>
    <row r="54" spans="1:44" ht="15.75" customHeight="1" hidden="1">
      <c r="A54" s="23"/>
      <c r="B54" s="765"/>
      <c r="C54" s="11"/>
      <c r="D54" s="17" t="s">
        <v>174</v>
      </c>
      <c r="E54" s="1"/>
      <c r="F54" s="1"/>
      <c r="G54" s="1"/>
      <c r="H54" s="908"/>
      <c r="I54" s="909"/>
      <c r="J54" s="909"/>
      <c r="K54" s="909"/>
      <c r="L54" s="909"/>
      <c r="M54" s="909"/>
      <c r="N54" s="909"/>
      <c r="O54" s="909"/>
      <c r="P54" s="909"/>
      <c r="Q54" s="909"/>
      <c r="R54" s="909"/>
      <c r="S54" s="909"/>
      <c r="T54" s="909"/>
      <c r="U54" s="910"/>
      <c r="V54" s="1"/>
      <c r="W54" s="1"/>
      <c r="X54" s="1"/>
      <c r="Y54" s="75" t="s">
        <v>175</v>
      </c>
      <c r="Z54" s="896"/>
      <c r="AA54" s="897"/>
      <c r="AB54" s="897"/>
      <c r="AC54" s="898"/>
      <c r="AD54" s="37" t="s">
        <v>222</v>
      </c>
      <c r="AE54" s="1"/>
      <c r="AF54" s="6"/>
      <c r="AG54" s="1"/>
      <c r="AH54" s="1"/>
      <c r="AI54" s="863"/>
      <c r="AJ54" s="864"/>
      <c r="AK54" s="864"/>
      <c r="AL54" s="864"/>
      <c r="AM54" s="864"/>
      <c r="AN54" s="864"/>
      <c r="AO54" s="865"/>
      <c r="AP54" s="1"/>
      <c r="AQ54" s="1"/>
      <c r="AR54" s="8"/>
    </row>
    <row r="55" spans="1:44" ht="3" customHeight="1" hidden="1">
      <c r="A55" s="23"/>
      <c r="B55" s="765"/>
      <c r="C55" s="11"/>
      <c r="D55" s="211"/>
      <c r="E55" s="207"/>
      <c r="F55" s="207"/>
      <c r="G55" s="207"/>
      <c r="H55" s="210"/>
      <c r="I55" s="210"/>
      <c r="J55" s="210"/>
      <c r="K55" s="210"/>
      <c r="L55" s="210"/>
      <c r="M55" s="210"/>
      <c r="N55" s="210"/>
      <c r="O55" s="210"/>
      <c r="P55" s="210"/>
      <c r="Q55" s="210"/>
      <c r="R55" s="210"/>
      <c r="S55" s="210"/>
      <c r="T55" s="211"/>
      <c r="U55" s="207"/>
      <c r="V55" s="207"/>
      <c r="W55" s="207"/>
      <c r="X55" s="207"/>
      <c r="Y55" s="208"/>
      <c r="Z55" s="208"/>
      <c r="AA55" s="208"/>
      <c r="AB55" s="208"/>
      <c r="AC55" s="208"/>
      <c r="AD55" s="209"/>
      <c r="AE55" s="207"/>
      <c r="AF55" s="167"/>
      <c r="AG55" s="207"/>
      <c r="AH55" s="207"/>
      <c r="AI55" s="208"/>
      <c r="AJ55" s="208"/>
      <c r="AK55" s="208"/>
      <c r="AL55" s="208"/>
      <c r="AM55" s="208"/>
      <c r="AN55" s="208"/>
      <c r="AO55" s="208"/>
      <c r="AP55" s="207"/>
      <c r="AQ55" s="207"/>
      <c r="AR55" s="8"/>
    </row>
    <row r="56" spans="1:44" ht="12.75" customHeight="1" hidden="1">
      <c r="A56" s="23"/>
      <c r="B56" s="765"/>
      <c r="C56" s="11"/>
      <c r="D56" s="212"/>
      <c r="E56" s="207"/>
      <c r="F56" s="207"/>
      <c r="G56" s="207"/>
      <c r="H56" s="97"/>
      <c r="I56" s="210"/>
      <c r="J56" s="210"/>
      <c r="K56" s="210"/>
      <c r="L56" s="210"/>
      <c r="M56" s="210"/>
      <c r="N56" s="210"/>
      <c r="O56" s="210"/>
      <c r="P56" s="210"/>
      <c r="Q56" s="210"/>
      <c r="R56" s="210"/>
      <c r="S56" s="210"/>
      <c r="T56" s="97"/>
      <c r="U56" s="207"/>
      <c r="V56" s="207"/>
      <c r="W56" s="207"/>
      <c r="X56" s="207"/>
      <c r="Y56" s="208"/>
      <c r="Z56" s="208"/>
      <c r="AA56" s="208"/>
      <c r="AB56" s="208"/>
      <c r="AC56" s="97"/>
      <c r="AD56" s="75" t="s">
        <v>221</v>
      </c>
      <c r="AE56" s="918" t="s">
        <v>184</v>
      </c>
      <c r="AF56" s="918"/>
      <c r="AG56" s="1"/>
      <c r="AH56" s="107"/>
      <c r="AI56" s="863"/>
      <c r="AJ56" s="864"/>
      <c r="AK56" s="864"/>
      <c r="AL56" s="864"/>
      <c r="AM56" s="864"/>
      <c r="AN56" s="864"/>
      <c r="AO56" s="865"/>
      <c r="AP56" s="1"/>
      <c r="AQ56" s="1"/>
      <c r="AR56" s="8"/>
    </row>
    <row r="57" spans="1:44" ht="3" customHeight="1" hidden="1" thickBot="1">
      <c r="A57" s="23"/>
      <c r="B57" s="766"/>
      <c r="C57" s="13"/>
      <c r="D57" s="21"/>
      <c r="E57" s="21"/>
      <c r="F57" s="21"/>
      <c r="G57" s="21"/>
      <c r="H57" s="21"/>
      <c r="I57" s="21"/>
      <c r="J57" s="21"/>
      <c r="K57" s="21"/>
      <c r="L57" s="21"/>
      <c r="M57" s="21"/>
      <c r="N57" s="21"/>
      <c r="O57" s="21"/>
      <c r="P57" s="21"/>
      <c r="Q57" s="22"/>
      <c r="R57" s="21"/>
      <c r="S57" s="21"/>
      <c r="T57" s="21"/>
      <c r="U57" s="21"/>
      <c r="V57" s="21"/>
      <c r="W57" s="21"/>
      <c r="X57" s="2"/>
      <c r="Y57" s="21"/>
      <c r="Z57" s="21"/>
      <c r="AA57" s="21"/>
      <c r="AB57" s="21"/>
      <c r="AC57" s="21"/>
      <c r="AD57" s="67"/>
      <c r="AE57" s="15"/>
      <c r="AF57" s="15"/>
      <c r="AG57" s="15"/>
      <c r="AH57" s="15"/>
      <c r="AI57" s="15"/>
      <c r="AJ57" s="15"/>
      <c r="AK57" s="15"/>
      <c r="AL57" s="15"/>
      <c r="AM57" s="15"/>
      <c r="AN57" s="15"/>
      <c r="AO57" s="15"/>
      <c r="AP57" s="15"/>
      <c r="AQ57" s="15"/>
      <c r="AR57" s="16"/>
    </row>
    <row r="58" spans="1:44" ht="9" customHeight="1" hidden="1">
      <c r="A58" s="1"/>
      <c r="B58" s="764" t="s">
        <v>940</v>
      </c>
      <c r="C58" s="11"/>
      <c r="D58" s="71"/>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18"/>
    </row>
    <row r="59" spans="1:44" ht="12.75" customHeight="1" hidden="1">
      <c r="A59" s="23"/>
      <c r="B59" s="765"/>
      <c r="C59" s="11"/>
      <c r="D59" s="17" t="s">
        <v>176</v>
      </c>
      <c r="E59" s="6"/>
      <c r="F59" s="30"/>
      <c r="G59" s="30"/>
      <c r="H59" s="919" t="s">
        <v>184</v>
      </c>
      <c r="I59" s="920"/>
      <c r="J59" s="921"/>
      <c r="K59" s="17"/>
      <c r="L59" s="75" t="s">
        <v>177</v>
      </c>
      <c r="M59" s="893"/>
      <c r="N59" s="894"/>
      <c r="O59" s="894"/>
      <c r="P59" s="894"/>
      <c r="Q59" s="894"/>
      <c r="R59" s="894"/>
      <c r="S59" s="894"/>
      <c r="T59" s="894"/>
      <c r="U59" s="894"/>
      <c r="V59" s="894"/>
      <c r="W59" s="894"/>
      <c r="X59" s="894"/>
      <c r="Y59" s="894"/>
      <c r="Z59" s="895"/>
      <c r="AA59" s="17" t="s">
        <v>181</v>
      </c>
      <c r="AB59" s="30"/>
      <c r="AC59" s="866"/>
      <c r="AD59" s="867"/>
      <c r="AE59" s="867"/>
      <c r="AF59" s="867"/>
      <c r="AG59" s="867"/>
      <c r="AH59" s="867"/>
      <c r="AI59" s="867"/>
      <c r="AJ59" s="867"/>
      <c r="AK59" s="867"/>
      <c r="AL59" s="867"/>
      <c r="AM59" s="867"/>
      <c r="AN59" s="867"/>
      <c r="AO59" s="868"/>
      <c r="AP59" s="893"/>
      <c r="AQ59" s="895"/>
      <c r="AR59" s="8"/>
    </row>
    <row r="60" spans="1:44" ht="2.25" customHeight="1" hidden="1">
      <c r="A60" s="23"/>
      <c r="B60" s="765"/>
      <c r="C60" s="11"/>
      <c r="D60" s="17"/>
      <c r="E60" s="6"/>
      <c r="F60" s="6"/>
      <c r="G60" s="6"/>
      <c r="H60" s="6"/>
      <c r="I60" s="6"/>
      <c r="J60" s="6"/>
      <c r="K60" s="1"/>
      <c r="L60" s="210"/>
      <c r="M60" s="210"/>
      <c r="N60" s="210"/>
      <c r="O60" s="210"/>
      <c r="P60" s="210"/>
      <c r="Q60" s="210"/>
      <c r="R60" s="210"/>
      <c r="S60" s="210"/>
      <c r="T60" s="210"/>
      <c r="U60" s="210"/>
      <c r="V60" s="210"/>
      <c r="W60" s="210"/>
      <c r="X60" s="210"/>
      <c r="Y60" s="210"/>
      <c r="Z60" s="210"/>
      <c r="AA60" s="210"/>
      <c r="AB60" s="210"/>
      <c r="AC60" s="210"/>
      <c r="AD60" s="209"/>
      <c r="AE60" s="207"/>
      <c r="AF60" s="167"/>
      <c r="AG60" s="207"/>
      <c r="AH60" s="207"/>
      <c r="AI60" s="208"/>
      <c r="AJ60" s="208"/>
      <c r="AK60" s="208"/>
      <c r="AL60" s="208"/>
      <c r="AM60" s="208"/>
      <c r="AN60" s="208"/>
      <c r="AO60" s="208"/>
      <c r="AP60" s="247"/>
      <c r="AQ60" s="248"/>
      <c r="AR60" s="8"/>
    </row>
    <row r="61" spans="1:44" ht="12.75" customHeight="1" hidden="1">
      <c r="A61" s="23"/>
      <c r="B61" s="765"/>
      <c r="D61" s="17" t="s">
        <v>112</v>
      </c>
      <c r="E61" s="1"/>
      <c r="F61" s="6"/>
      <c r="G61" s="1"/>
      <c r="H61" s="886"/>
      <c r="I61" s="879"/>
      <c r="J61" s="879"/>
      <c r="K61" s="879"/>
      <c r="L61" s="879"/>
      <c r="M61" s="879"/>
      <c r="N61" s="879"/>
      <c r="O61" s="879"/>
      <c r="P61" s="879"/>
      <c r="Q61" s="879"/>
      <c r="R61" s="879"/>
      <c r="S61" s="879"/>
      <c r="T61" s="879"/>
      <c r="U61" s="879"/>
      <c r="V61" s="879"/>
      <c r="W61" s="879"/>
      <c r="X61" s="879"/>
      <c r="Y61" s="879"/>
      <c r="Z61" s="880"/>
      <c r="AA61" s="17" t="s">
        <v>182</v>
      </c>
      <c r="AB61" s="206"/>
      <c r="AC61" s="878"/>
      <c r="AD61" s="926"/>
      <c r="AE61" s="926"/>
      <c r="AF61" s="926"/>
      <c r="AG61" s="926"/>
      <c r="AH61" s="926"/>
      <c r="AI61" s="926"/>
      <c r="AJ61" s="926"/>
      <c r="AK61" s="926"/>
      <c r="AL61" s="926"/>
      <c r="AM61" s="926"/>
      <c r="AN61" s="926"/>
      <c r="AO61" s="927"/>
      <c r="AR61" s="8"/>
    </row>
    <row r="62" spans="1:44" ht="2.25" customHeight="1" hidden="1">
      <c r="A62" s="23"/>
      <c r="B62" s="765"/>
      <c r="C62" s="11"/>
      <c r="D62" s="66"/>
      <c r="E62" s="2"/>
      <c r="F62" s="2"/>
      <c r="G62" s="2"/>
      <c r="H62" s="20"/>
      <c r="I62" s="20"/>
      <c r="J62" s="20"/>
      <c r="K62" s="20"/>
      <c r="L62" s="20"/>
      <c r="M62" s="20"/>
      <c r="N62" s="20"/>
      <c r="O62" s="20"/>
      <c r="P62" s="20"/>
      <c r="Q62" s="20"/>
      <c r="R62" s="20"/>
      <c r="S62" s="20"/>
      <c r="T62" s="20"/>
      <c r="U62" s="20"/>
      <c r="V62" s="20"/>
      <c r="W62" s="20"/>
      <c r="X62" s="20"/>
      <c r="Y62" s="2"/>
      <c r="Z62" s="2"/>
      <c r="AA62" s="2"/>
      <c r="AB62" s="2"/>
      <c r="AC62" s="2"/>
      <c r="AD62" s="66"/>
      <c r="AE62" s="6"/>
      <c r="AF62" s="6"/>
      <c r="AG62" s="6"/>
      <c r="AH62" s="6"/>
      <c r="AI62" s="6"/>
      <c r="AJ62" s="6"/>
      <c r="AK62" s="6"/>
      <c r="AL62" s="6"/>
      <c r="AM62" s="6"/>
      <c r="AN62" s="6"/>
      <c r="AO62" s="6"/>
      <c r="AP62" s="6"/>
      <c r="AR62" s="8"/>
    </row>
    <row r="63" spans="1:45" ht="12.75" customHeight="1" hidden="1">
      <c r="A63" s="23"/>
      <c r="B63" s="765"/>
      <c r="C63" s="11"/>
      <c r="D63" s="17" t="s">
        <v>172</v>
      </c>
      <c r="E63" s="6"/>
      <c r="F63" s="6"/>
      <c r="G63" s="6"/>
      <c r="H63" s="893"/>
      <c r="I63" s="894"/>
      <c r="J63" s="894"/>
      <c r="K63" s="894"/>
      <c r="L63" s="894"/>
      <c r="M63" s="894"/>
      <c r="N63" s="894"/>
      <c r="O63" s="894"/>
      <c r="P63" s="894"/>
      <c r="Q63" s="894"/>
      <c r="R63" s="894"/>
      <c r="S63" s="894"/>
      <c r="T63" s="894"/>
      <c r="U63" s="894"/>
      <c r="V63" s="894"/>
      <c r="W63" s="894"/>
      <c r="X63" s="894"/>
      <c r="Y63" s="894"/>
      <c r="Z63" s="894"/>
      <c r="AA63" s="894"/>
      <c r="AB63" s="894"/>
      <c r="AC63" s="895"/>
      <c r="AD63" s="37" t="s">
        <v>183</v>
      </c>
      <c r="AE63" s="1"/>
      <c r="AF63" s="1"/>
      <c r="AG63" s="1"/>
      <c r="AH63" s="65"/>
      <c r="AI63" s="863"/>
      <c r="AJ63" s="864"/>
      <c r="AK63" s="864"/>
      <c r="AL63" s="864"/>
      <c r="AM63" s="864"/>
      <c r="AN63" s="864"/>
      <c r="AO63" s="865"/>
      <c r="AQ63" s="27" t="s">
        <v>113</v>
      </c>
      <c r="AR63" s="8"/>
      <c r="AS63" s="24"/>
    </row>
    <row r="64" spans="1:44" ht="2.25" customHeight="1" hidden="1">
      <c r="A64" s="1"/>
      <c r="B64" s="765"/>
      <c r="C64" s="11"/>
      <c r="AR64" s="8"/>
    </row>
    <row r="65" spans="1:45" ht="12.75" customHeight="1" hidden="1">
      <c r="A65" s="1"/>
      <c r="B65" s="765"/>
      <c r="C65" s="11"/>
      <c r="D65" s="17" t="s">
        <v>173</v>
      </c>
      <c r="E65" s="6"/>
      <c r="F65" s="6"/>
      <c r="G65" s="6"/>
      <c r="H65" s="893"/>
      <c r="I65" s="894"/>
      <c r="J65" s="894"/>
      <c r="K65" s="894"/>
      <c r="L65" s="894"/>
      <c r="M65" s="894"/>
      <c r="N65" s="894"/>
      <c r="O65" s="894"/>
      <c r="P65" s="894"/>
      <c r="Q65" s="894"/>
      <c r="R65" s="894"/>
      <c r="S65" s="894"/>
      <c r="T65" s="894"/>
      <c r="U65" s="894"/>
      <c r="V65" s="894"/>
      <c r="W65" s="894"/>
      <c r="X65" s="894"/>
      <c r="Y65" s="894"/>
      <c r="Z65" s="894"/>
      <c r="AA65" s="894"/>
      <c r="AB65" s="894"/>
      <c r="AC65" s="895"/>
      <c r="AD65" s="37" t="s">
        <v>115</v>
      </c>
      <c r="AE65" s="1"/>
      <c r="AF65" s="1"/>
      <c r="AG65" s="1"/>
      <c r="AH65" s="1"/>
      <c r="AI65" s="863"/>
      <c r="AJ65" s="864"/>
      <c r="AK65" s="864"/>
      <c r="AL65" s="864"/>
      <c r="AM65" s="864"/>
      <c r="AN65" s="864"/>
      <c r="AO65" s="865"/>
      <c r="AP65" s="1"/>
      <c r="AQ65" s="12"/>
      <c r="AR65" s="8"/>
      <c r="AS65" s="25"/>
    </row>
    <row r="66" spans="1:44" ht="3" customHeight="1" hidden="1">
      <c r="A66" s="23"/>
      <c r="B66" s="765"/>
      <c r="C66" s="11"/>
      <c r="D66" s="17"/>
      <c r="E66" s="6"/>
      <c r="F66" s="6"/>
      <c r="G66" s="6"/>
      <c r="H66" s="210"/>
      <c r="I66" s="210"/>
      <c r="J66" s="210"/>
      <c r="K66" s="210"/>
      <c r="L66" s="210"/>
      <c r="M66" s="210"/>
      <c r="N66" s="210"/>
      <c r="O66" s="210"/>
      <c r="P66" s="210"/>
      <c r="Q66" s="210"/>
      <c r="R66" s="210"/>
      <c r="S66" s="210"/>
      <c r="T66" s="210"/>
      <c r="U66" s="210"/>
      <c r="V66" s="210"/>
      <c r="W66" s="210"/>
      <c r="X66" s="210"/>
      <c r="Y66" s="210"/>
      <c r="Z66" s="210"/>
      <c r="AA66" s="210"/>
      <c r="AB66" s="210"/>
      <c r="AC66" s="210"/>
      <c r="AD66" s="209"/>
      <c r="AE66" s="207"/>
      <c r="AF66" s="207"/>
      <c r="AG66" s="207"/>
      <c r="AH66" s="207"/>
      <c r="AI66" s="208"/>
      <c r="AJ66" s="208"/>
      <c r="AK66" s="208"/>
      <c r="AL66" s="208"/>
      <c r="AM66" s="208"/>
      <c r="AN66" s="208"/>
      <c r="AO66" s="208"/>
      <c r="AP66" s="207"/>
      <c r="AQ66" s="213"/>
      <c r="AR66" s="8"/>
    </row>
    <row r="67" spans="1:44" ht="12.75" customHeight="1" hidden="1">
      <c r="A67" s="23"/>
      <c r="B67" s="765"/>
      <c r="C67" s="11"/>
      <c r="D67" s="17" t="s">
        <v>174</v>
      </c>
      <c r="E67" s="1"/>
      <c r="F67" s="1"/>
      <c r="G67" s="1"/>
      <c r="H67" s="929"/>
      <c r="I67" s="930"/>
      <c r="J67" s="930"/>
      <c r="K67" s="930"/>
      <c r="L67" s="930"/>
      <c r="M67" s="930"/>
      <c r="N67" s="930"/>
      <c r="O67" s="930"/>
      <c r="P67" s="930"/>
      <c r="Q67" s="930"/>
      <c r="R67" s="930"/>
      <c r="S67" s="930"/>
      <c r="T67" s="930"/>
      <c r="U67" s="931"/>
      <c r="W67" s="1"/>
      <c r="X67" s="1"/>
      <c r="Y67" s="75" t="s">
        <v>175</v>
      </c>
      <c r="Z67" s="896"/>
      <c r="AA67" s="897"/>
      <c r="AB67" s="897"/>
      <c r="AC67" s="898"/>
      <c r="AD67" s="37" t="s">
        <v>222</v>
      </c>
      <c r="AE67" s="1"/>
      <c r="AF67" s="6"/>
      <c r="AG67" s="1"/>
      <c r="AH67" s="1"/>
      <c r="AI67" s="863"/>
      <c r="AJ67" s="864"/>
      <c r="AK67" s="864"/>
      <c r="AL67" s="864"/>
      <c r="AM67" s="864"/>
      <c r="AN67" s="864"/>
      <c r="AO67" s="865"/>
      <c r="AP67" s="1"/>
      <c r="AQ67" s="1"/>
      <c r="AR67" s="8"/>
    </row>
    <row r="68" spans="1:44" ht="2.25" customHeight="1" hidden="1">
      <c r="A68" s="23"/>
      <c r="B68" s="765"/>
      <c r="C68" s="98"/>
      <c r="D68" s="211"/>
      <c r="E68" s="207"/>
      <c r="F68" s="207"/>
      <c r="G68" s="207"/>
      <c r="H68" s="210"/>
      <c r="I68" s="210"/>
      <c r="J68" s="210"/>
      <c r="K68" s="210"/>
      <c r="L68" s="210"/>
      <c r="M68" s="210"/>
      <c r="N68" s="210"/>
      <c r="O68" s="210"/>
      <c r="P68" s="210"/>
      <c r="Q68" s="210"/>
      <c r="R68" s="210"/>
      <c r="S68" s="210"/>
      <c r="T68" s="211"/>
      <c r="U68" s="207"/>
      <c r="V68" s="207"/>
      <c r="W68" s="207"/>
      <c r="X68" s="207"/>
      <c r="Y68" s="208"/>
      <c r="Z68" s="208"/>
      <c r="AA68" s="208"/>
      <c r="AB68" s="208"/>
      <c r="AC68" s="208"/>
      <c r="AD68" s="37"/>
      <c r="AE68" s="1"/>
      <c r="AF68" s="6"/>
      <c r="AG68" s="1"/>
      <c r="AH68" s="1"/>
      <c r="AI68" s="208"/>
      <c r="AJ68" s="208"/>
      <c r="AK68" s="208"/>
      <c r="AL68" s="208"/>
      <c r="AM68" s="208"/>
      <c r="AN68" s="208"/>
      <c r="AO68" s="208"/>
      <c r="AP68" s="1"/>
      <c r="AQ68" s="1"/>
      <c r="AR68" s="8"/>
    </row>
    <row r="69" spans="1:44" ht="12.75" customHeight="1" hidden="1">
      <c r="A69" s="23"/>
      <c r="B69" s="765"/>
      <c r="C69" s="98"/>
      <c r="D69" s="211"/>
      <c r="E69" s="207"/>
      <c r="F69" s="207"/>
      <c r="G69" s="207"/>
      <c r="H69" s="210"/>
      <c r="I69" s="210"/>
      <c r="J69" s="210"/>
      <c r="K69" s="210"/>
      <c r="L69" s="210"/>
      <c r="M69" s="210"/>
      <c r="N69" s="210"/>
      <c r="O69" s="210"/>
      <c r="P69" s="210"/>
      <c r="Q69" s="210"/>
      <c r="R69" s="210"/>
      <c r="S69" s="210"/>
      <c r="T69" s="211"/>
      <c r="U69" s="207"/>
      <c r="V69" s="207"/>
      <c r="W69" s="207"/>
      <c r="X69" s="207"/>
      <c r="Y69" s="208"/>
      <c r="Z69" s="208"/>
      <c r="AA69" s="208"/>
      <c r="AB69" s="208"/>
      <c r="AC69" s="97"/>
      <c r="AD69" s="75" t="s">
        <v>221</v>
      </c>
      <c r="AE69" s="918" t="s">
        <v>184</v>
      </c>
      <c r="AF69" s="918"/>
      <c r="AG69" s="1"/>
      <c r="AH69" s="107"/>
      <c r="AI69" s="863"/>
      <c r="AJ69" s="864"/>
      <c r="AK69" s="864"/>
      <c r="AL69" s="864"/>
      <c r="AM69" s="864"/>
      <c r="AN69" s="864"/>
      <c r="AO69" s="865"/>
      <c r="AP69" s="1"/>
      <c r="AQ69" s="1"/>
      <c r="AR69" s="8"/>
    </row>
    <row r="70" spans="1:44" ht="4.5" customHeight="1" hidden="1" thickBot="1">
      <c r="A70" s="23"/>
      <c r="B70" s="766"/>
      <c r="C70" s="13"/>
      <c r="D70" s="21"/>
      <c r="E70" s="21"/>
      <c r="F70" s="21"/>
      <c r="G70" s="21"/>
      <c r="H70" s="21"/>
      <c r="I70" s="21"/>
      <c r="J70" s="21"/>
      <c r="K70" s="21"/>
      <c r="L70" s="21"/>
      <c r="M70" s="21"/>
      <c r="N70" s="21"/>
      <c r="O70" s="21"/>
      <c r="P70" s="21"/>
      <c r="Q70" s="22"/>
      <c r="R70" s="21"/>
      <c r="S70" s="21"/>
      <c r="T70" s="21"/>
      <c r="U70" s="21"/>
      <c r="V70" s="21"/>
      <c r="W70" s="21"/>
      <c r="X70" s="2"/>
      <c r="Y70" s="21"/>
      <c r="Z70" s="21"/>
      <c r="AA70" s="21"/>
      <c r="AB70" s="21"/>
      <c r="AC70" s="21"/>
      <c r="AD70" s="67"/>
      <c r="AE70" s="15"/>
      <c r="AF70" s="15"/>
      <c r="AG70" s="15"/>
      <c r="AH70" s="15"/>
      <c r="AI70" s="15"/>
      <c r="AJ70" s="15"/>
      <c r="AK70" s="15"/>
      <c r="AL70" s="15"/>
      <c r="AM70" s="15"/>
      <c r="AN70" s="15"/>
      <c r="AO70" s="15"/>
      <c r="AP70" s="15"/>
      <c r="AQ70" s="15"/>
      <c r="AR70" s="16"/>
    </row>
    <row r="71" spans="1:44" ht="10.5" customHeight="1">
      <c r="A71" s="1"/>
      <c r="B71" s="764" t="s">
        <v>941</v>
      </c>
      <c r="C71" s="3"/>
      <c r="D71" s="4"/>
      <c r="E71" s="245"/>
      <c r="F71" s="4"/>
      <c r="G71" s="4"/>
      <c r="H71" s="246"/>
      <c r="I71" s="4"/>
      <c r="J71" s="4"/>
      <c r="K71" s="4"/>
      <c r="L71" s="4"/>
      <c r="M71" s="4"/>
      <c r="N71" s="4"/>
      <c r="O71" s="4"/>
      <c r="P71" s="4"/>
      <c r="Q71" s="4"/>
      <c r="R71" s="4"/>
      <c r="S71" s="4"/>
      <c r="T71" s="4"/>
      <c r="U71" s="4"/>
      <c r="V71" s="4"/>
      <c r="W71" s="4"/>
      <c r="X71" s="26"/>
      <c r="Y71" s="4"/>
      <c r="Z71" s="4"/>
      <c r="AA71" s="4"/>
      <c r="AB71" s="4"/>
      <c r="AC71" s="4"/>
      <c r="AD71" s="4"/>
      <c r="AE71" s="4"/>
      <c r="AF71" s="4"/>
      <c r="AG71" s="4"/>
      <c r="AH71" s="4"/>
      <c r="AI71" s="4"/>
      <c r="AJ71" s="4"/>
      <c r="AK71" s="4"/>
      <c r="AL71" s="4"/>
      <c r="AM71" s="4"/>
      <c r="AN71" s="4"/>
      <c r="AO71" s="4"/>
      <c r="AP71" s="4"/>
      <c r="AQ71" s="4"/>
      <c r="AR71" s="18"/>
    </row>
    <row r="72" spans="1:44" ht="12.75">
      <c r="A72" s="1"/>
      <c r="B72" s="765"/>
      <c r="C72" s="5">
        <v>0</v>
      </c>
      <c r="D72" s="17" t="s">
        <v>239</v>
      </c>
      <c r="E72" s="6"/>
      <c r="F72" s="6"/>
      <c r="G72" s="6"/>
      <c r="H72" s="893">
        <f>IF(Demande!B42="","",Demande!B42)</f>
      </c>
      <c r="I72" s="894"/>
      <c r="J72" s="894"/>
      <c r="K72" s="894"/>
      <c r="L72" s="894"/>
      <c r="M72" s="894"/>
      <c r="N72" s="894"/>
      <c r="O72" s="894"/>
      <c r="P72" s="894"/>
      <c r="Q72" s="894"/>
      <c r="R72" s="894"/>
      <c r="S72" s="894"/>
      <c r="T72" s="894"/>
      <c r="U72" s="894"/>
      <c r="V72" s="894"/>
      <c r="W72" s="894"/>
      <c r="X72" s="894"/>
      <c r="Y72" s="894"/>
      <c r="Z72" s="894"/>
      <c r="AA72" s="894"/>
      <c r="AB72" s="894"/>
      <c r="AC72" s="895"/>
      <c r="AD72" s="37" t="s">
        <v>217</v>
      </c>
      <c r="AE72" s="17"/>
      <c r="AF72" s="17"/>
      <c r="AG72" s="17"/>
      <c r="AH72" s="36"/>
      <c r="AI72" s="863">
        <f>IF(Demande!I42="","",Demande!I42)</f>
      </c>
      <c r="AJ72" s="864"/>
      <c r="AK72" s="864"/>
      <c r="AL72" s="864"/>
      <c r="AM72" s="864"/>
      <c r="AN72" s="864"/>
      <c r="AO72" s="865"/>
      <c r="AP72" s="6"/>
      <c r="AQ72" s="925"/>
      <c r="AR72" s="8"/>
    </row>
    <row r="73" spans="1:44" ht="2.25" customHeight="1">
      <c r="A73" s="1"/>
      <c r="B73" s="765"/>
      <c r="C73" s="5"/>
      <c r="D73" s="58"/>
      <c r="E73" s="6"/>
      <c r="F73" s="6"/>
      <c r="G73" s="6"/>
      <c r="H73" s="554"/>
      <c r="I73" s="554"/>
      <c r="J73" s="554"/>
      <c r="K73" s="554"/>
      <c r="L73" s="554"/>
      <c r="M73" s="554"/>
      <c r="N73" s="554"/>
      <c r="O73" s="554"/>
      <c r="P73" s="174"/>
      <c r="Q73" s="174"/>
      <c r="R73" s="174"/>
      <c r="S73" s="174"/>
      <c r="T73" s="174"/>
      <c r="U73" s="174"/>
      <c r="V73" s="174"/>
      <c r="W73" s="174"/>
      <c r="X73" s="174"/>
      <c r="Y73" s="174"/>
      <c r="Z73" s="174"/>
      <c r="AA73" s="174"/>
      <c r="AB73" s="174"/>
      <c r="AC73" s="174"/>
      <c r="AD73" s="76"/>
      <c r="AE73" s="76"/>
      <c r="AF73" s="76"/>
      <c r="AG73" s="76"/>
      <c r="AH73" s="76"/>
      <c r="AI73" s="19"/>
      <c r="AJ73" s="19"/>
      <c r="AK73" s="19"/>
      <c r="AL73" s="19"/>
      <c r="AM73" s="19"/>
      <c r="AN73" s="19"/>
      <c r="AO73" s="19"/>
      <c r="AP73" s="6"/>
      <c r="AQ73" s="925"/>
      <c r="AR73" s="8"/>
    </row>
    <row r="74" spans="1:44" ht="12.75">
      <c r="A74" s="1"/>
      <c r="B74" s="765"/>
      <c r="C74" s="11"/>
      <c r="D74" s="17" t="s">
        <v>114</v>
      </c>
      <c r="E74" s="6"/>
      <c r="F74" s="6"/>
      <c r="G74" s="6"/>
      <c r="H74" s="893">
        <f>IF(Demande!B44="","",Demande!B44)</f>
      </c>
      <c r="I74" s="894"/>
      <c r="J74" s="894"/>
      <c r="K74" s="894"/>
      <c r="L74" s="894"/>
      <c r="M74" s="894"/>
      <c r="N74" s="894"/>
      <c r="O74" s="894"/>
      <c r="P74" s="894"/>
      <c r="Q74" s="894"/>
      <c r="R74" s="894"/>
      <c r="S74" s="894"/>
      <c r="T74" s="894"/>
      <c r="U74" s="894"/>
      <c r="V74" s="894"/>
      <c r="W74" s="894"/>
      <c r="X74" s="894"/>
      <c r="Y74" s="894"/>
      <c r="Z74" s="894"/>
      <c r="AA74" s="894"/>
      <c r="AB74" s="894"/>
      <c r="AC74" s="895"/>
      <c r="AD74" s="37" t="s">
        <v>152</v>
      </c>
      <c r="AE74" s="17"/>
      <c r="AF74" s="17"/>
      <c r="AG74" s="17"/>
      <c r="AH74" s="17"/>
      <c r="AI74" s="944">
        <f>IF(Demande!I48="","",Demande!I48)</f>
      </c>
      <c r="AJ74" s="945"/>
      <c r="AK74" s="945"/>
      <c r="AL74" s="945"/>
      <c r="AM74" s="945"/>
      <c r="AN74" s="945"/>
      <c r="AO74" s="946"/>
      <c r="AP74" s="6"/>
      <c r="AQ74" s="213"/>
      <c r="AR74" s="8"/>
    </row>
    <row r="75" spans="1:44" ht="2.25" customHeight="1">
      <c r="A75" s="1"/>
      <c r="B75" s="765"/>
      <c r="C75" s="11"/>
      <c r="D75" s="17"/>
      <c r="E75" s="6"/>
      <c r="F75" s="6"/>
      <c r="G75" s="6"/>
      <c r="AD75" s="30"/>
      <c r="AE75" s="17"/>
      <c r="AF75" s="77"/>
      <c r="AG75" s="77"/>
      <c r="AH75" s="77"/>
      <c r="AI75" s="516"/>
      <c r="AJ75" s="516"/>
      <c r="AK75" s="516"/>
      <c r="AL75" s="516"/>
      <c r="AM75" s="516"/>
      <c r="AN75" s="516"/>
      <c r="AO75" s="516"/>
      <c r="AP75" s="6"/>
      <c r="AQ75" s="6"/>
      <c r="AR75" s="8"/>
    </row>
    <row r="76" spans="1:54" ht="12" customHeight="1">
      <c r="A76" s="1"/>
      <c r="B76" s="765"/>
      <c r="C76" s="11"/>
      <c r="D76" s="17" t="s">
        <v>160</v>
      </c>
      <c r="E76" s="6"/>
      <c r="F76" s="6"/>
      <c r="G76" s="6"/>
      <c r="H76" s="899">
        <f>IF(Demande!B46="","",Demande!B46)</f>
      </c>
      <c r="I76" s="900"/>
      <c r="J76" s="900"/>
      <c r="K76" s="900"/>
      <c r="L76" s="900"/>
      <c r="M76" s="900"/>
      <c r="N76" s="900"/>
      <c r="O76" s="900"/>
      <c r="P76" s="900"/>
      <c r="Q76" s="900"/>
      <c r="R76" s="900"/>
      <c r="S76" s="900"/>
      <c r="T76" s="900"/>
      <c r="U76" s="901"/>
      <c r="V76" s="525"/>
      <c r="W76" s="525"/>
      <c r="X76" s="525"/>
      <c r="Y76" s="535" t="s">
        <v>116</v>
      </c>
      <c r="Z76" s="896">
        <f>IF(Demande!I46="","",Demande!I46)</f>
      </c>
      <c r="AA76" s="897"/>
      <c r="AB76" s="897"/>
      <c r="AC76" s="898"/>
      <c r="AD76" s="37" t="s">
        <v>185</v>
      </c>
      <c r="AE76" s="17"/>
      <c r="AF76" s="17"/>
      <c r="AG76" s="17"/>
      <c r="AH76" s="17"/>
      <c r="AI76" s="932" t="str">
        <f>INDEX(Data!V5:V23,MATCH(Demande!B48,Data!Z5:Z23,0))</f>
        <v>Choisir…</v>
      </c>
      <c r="AJ76" s="933"/>
      <c r="AK76" s="933"/>
      <c r="AL76" s="933"/>
      <c r="AM76" s="933"/>
      <c r="AN76" s="933"/>
      <c r="AO76" s="934"/>
      <c r="AP76" s="6"/>
      <c r="AQ76" s="6"/>
      <c r="AR76" s="8"/>
      <c r="BB76" t="s">
        <v>1105</v>
      </c>
    </row>
    <row r="77" spans="1:44" ht="3" customHeight="1">
      <c r="A77" s="1"/>
      <c r="B77" s="765"/>
      <c r="C77" s="98"/>
      <c r="D77" s="211"/>
      <c r="E77" s="167"/>
      <c r="F77" s="167"/>
      <c r="G77" s="167"/>
      <c r="H77" s="210"/>
      <c r="I77" s="210"/>
      <c r="J77" s="210"/>
      <c r="K77" s="210"/>
      <c r="L77" s="210"/>
      <c r="M77" s="210"/>
      <c r="N77" s="210"/>
      <c r="O77" s="210"/>
      <c r="P77" s="210"/>
      <c r="Q77" s="210"/>
      <c r="R77" s="210"/>
      <c r="S77" s="210"/>
      <c r="T77" s="211"/>
      <c r="U77" s="167"/>
      <c r="V77" s="167"/>
      <c r="W77" s="167"/>
      <c r="X77" s="167"/>
      <c r="Y77" s="208"/>
      <c r="Z77" s="208"/>
      <c r="AA77" s="208"/>
      <c r="AB77" s="208"/>
      <c r="AC77" s="208"/>
      <c r="AD77" s="209"/>
      <c r="AE77" s="211"/>
      <c r="AF77" s="211"/>
      <c r="AG77" s="211"/>
      <c r="AH77" s="211"/>
      <c r="AI77" s="208"/>
      <c r="AJ77" s="208"/>
      <c r="AK77" s="208"/>
      <c r="AL77" s="208"/>
      <c r="AM77" s="208"/>
      <c r="AN77" s="208"/>
      <c r="AO77" s="166"/>
      <c r="AP77" s="167"/>
      <c r="AQ77" s="167"/>
      <c r="AR77" s="214"/>
    </row>
    <row r="78" spans="1:44" ht="8.25" customHeight="1">
      <c r="A78" s="1"/>
      <c r="B78" s="765"/>
      <c r="C78" s="98"/>
      <c r="D78" s="211"/>
      <c r="E78" s="167"/>
      <c r="F78" s="167"/>
      <c r="G78" s="167"/>
      <c r="H78" s="249" t="b">
        <v>0</v>
      </c>
      <c r="I78" s="166"/>
      <c r="J78" s="166"/>
      <c r="K78" s="166"/>
      <c r="L78" s="166"/>
      <c r="M78" s="166"/>
      <c r="N78" s="166"/>
      <c r="O78" s="166"/>
      <c r="P78" s="166"/>
      <c r="Q78" s="166"/>
      <c r="R78" s="166"/>
      <c r="S78" s="166"/>
      <c r="T78" s="211"/>
      <c r="U78" s="167"/>
      <c r="V78" s="167"/>
      <c r="W78" s="167"/>
      <c r="X78" s="167"/>
      <c r="Y78" s="208"/>
      <c r="Z78" s="936" t="e">
        <f>SUMIF(D84:D89,"&lt;&gt;électricité",AA84:AA89)</f>
        <v>#N/A</v>
      </c>
      <c r="AA78" s="936"/>
      <c r="AB78" s="936"/>
      <c r="AC78" s="936"/>
      <c r="AD78" s="209"/>
      <c r="AE78" s="215"/>
      <c r="AF78" s="215"/>
      <c r="AG78" s="215"/>
      <c r="AH78" s="215"/>
      <c r="AI78" s="215"/>
      <c r="AJ78" s="215"/>
      <c r="AK78" s="215"/>
      <c r="AL78" s="215"/>
      <c r="AM78" s="215"/>
      <c r="AN78" s="215"/>
      <c r="AO78" s="215"/>
      <c r="AP78" s="167"/>
      <c r="AQ78" s="167"/>
      <c r="AR78" s="214"/>
    </row>
    <row r="79" spans="1:44" ht="12" customHeight="1">
      <c r="A79" s="1"/>
      <c r="B79" s="765"/>
      <c r="C79" s="244"/>
      <c r="D79" s="806" t="s">
        <v>886</v>
      </c>
      <c r="E79" s="807"/>
      <c r="F79" s="807"/>
      <c r="G79" s="807"/>
      <c r="H79" s="807"/>
      <c r="I79" s="807"/>
      <c r="J79" s="807"/>
      <c r="K79" s="807"/>
      <c r="L79" s="807"/>
      <c r="M79" s="807"/>
      <c r="N79" s="807"/>
      <c r="O79" s="807"/>
      <c r="P79" s="807"/>
      <c r="Q79" s="807"/>
      <c r="R79" s="807"/>
      <c r="S79" s="807"/>
      <c r="T79" s="807"/>
      <c r="U79" s="807"/>
      <c r="V79" s="6"/>
      <c r="W79" s="6"/>
      <c r="X79" s="6"/>
      <c r="Y79" s="6"/>
      <c r="Z79" s="6"/>
      <c r="AA79" s="6"/>
      <c r="AB79" s="6"/>
      <c r="AC79" s="6"/>
      <c r="AD79" s="6"/>
      <c r="AE79" s="6"/>
      <c r="AF79" s="6"/>
      <c r="AG79" s="6"/>
      <c r="AH79" s="6"/>
      <c r="AI79" s="6"/>
      <c r="AJ79" s="6"/>
      <c r="AK79" s="6"/>
      <c r="AL79" s="6"/>
      <c r="AM79" s="6"/>
      <c r="AN79" s="6"/>
      <c r="AO79" s="6"/>
      <c r="AP79" s="6"/>
      <c r="AQ79" s="6"/>
      <c r="AR79" s="8"/>
    </row>
    <row r="80" spans="1:44" ht="57.75" customHeight="1" thickBot="1">
      <c r="A80" s="1"/>
      <c r="B80" s="76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7"/>
    </row>
    <row r="81" spans="1:45" ht="3.75" customHeight="1">
      <c r="A81" s="1"/>
      <c r="B81" s="768" t="s">
        <v>942</v>
      </c>
      <c r="C81" s="95"/>
      <c r="D81" s="917"/>
      <c r="E81" s="917"/>
      <c r="F81" s="917"/>
      <c r="G81" s="917"/>
      <c r="H81" s="917"/>
      <c r="I81" s="917"/>
      <c r="J81" s="917"/>
      <c r="K81" s="917"/>
      <c r="L81" s="917"/>
      <c r="M81" s="917"/>
      <c r="N81" s="917"/>
      <c r="O81" s="917"/>
      <c r="P81" s="917"/>
      <c r="Q81" s="91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6"/>
      <c r="AS81" s="97"/>
    </row>
    <row r="82" spans="1:45" ht="12" customHeight="1">
      <c r="A82" s="1"/>
      <c r="B82" s="769"/>
      <c r="C82" s="98"/>
      <c r="D82" s="876" t="s">
        <v>240</v>
      </c>
      <c r="E82" s="877"/>
      <c r="F82" s="877"/>
      <c r="G82" s="877"/>
      <c r="H82" s="877"/>
      <c r="I82" s="877"/>
      <c r="J82" s="877"/>
      <c r="K82" s="877"/>
      <c r="L82" s="877"/>
      <c r="M82" s="877"/>
      <c r="N82" s="877"/>
      <c r="O82" s="877"/>
      <c r="P82" s="877"/>
      <c r="Q82" s="877"/>
      <c r="R82" s="877"/>
      <c r="S82" s="877"/>
      <c r="T82" s="877"/>
      <c r="U82" s="877"/>
      <c r="V82" s="740" t="s">
        <v>665</v>
      </c>
      <c r="W82" s="740"/>
      <c r="X82" s="740"/>
      <c r="Y82" s="740"/>
      <c r="Z82" s="741"/>
      <c r="AA82" s="739" t="s">
        <v>118</v>
      </c>
      <c r="AB82" s="740"/>
      <c r="AC82" s="740"/>
      <c r="AD82" s="741"/>
      <c r="AE82" s="928">
        <f>'Consommation actuelle'!G7</f>
        <v>44644</v>
      </c>
      <c r="AF82" s="906"/>
      <c r="AG82" s="906"/>
      <c r="AH82" s="906"/>
      <c r="AI82" s="906"/>
      <c r="AJ82" s="914" t="s">
        <v>119</v>
      </c>
      <c r="AK82" s="915"/>
      <c r="AL82" s="915"/>
      <c r="AM82" s="916"/>
      <c r="AN82" s="905">
        <f>'Consommation actuelle'!I7</f>
        <v>45373</v>
      </c>
      <c r="AO82" s="906"/>
      <c r="AP82" s="906"/>
      <c r="AQ82" s="907"/>
      <c r="AR82" s="99"/>
      <c r="AS82" s="97"/>
    </row>
    <row r="83" spans="1:45" ht="12.75" customHeight="1">
      <c r="A83" s="1"/>
      <c r="B83" s="769"/>
      <c r="C83" s="190" t="s">
        <v>705</v>
      </c>
      <c r="D83" s="742" t="s">
        <v>249</v>
      </c>
      <c r="E83" s="743"/>
      <c r="F83" s="743"/>
      <c r="G83" s="743"/>
      <c r="H83" s="743"/>
      <c r="I83" s="744"/>
      <c r="J83" s="739" t="s">
        <v>120</v>
      </c>
      <c r="K83" s="740"/>
      <c r="L83" s="740"/>
      <c r="M83" s="741"/>
      <c r="N83" s="739"/>
      <c r="O83" s="740"/>
      <c r="P83" s="740"/>
      <c r="Q83" s="741"/>
      <c r="R83" s="739" t="s">
        <v>242</v>
      </c>
      <c r="S83" s="740"/>
      <c r="T83" s="740"/>
      <c r="U83" s="741"/>
      <c r="V83" s="739" t="s">
        <v>797</v>
      </c>
      <c r="W83" s="740"/>
      <c r="X83" s="740"/>
      <c r="Y83" s="740"/>
      <c r="Z83" s="741"/>
      <c r="AA83" s="739" t="s">
        <v>909</v>
      </c>
      <c r="AB83" s="740"/>
      <c r="AC83" s="740"/>
      <c r="AD83" s="741"/>
      <c r="AE83" s="739" t="s">
        <v>910</v>
      </c>
      <c r="AF83" s="740"/>
      <c r="AG83" s="740"/>
      <c r="AH83" s="740"/>
      <c r="AI83" s="741"/>
      <c r="AJ83" s="739" t="s">
        <v>246</v>
      </c>
      <c r="AK83" s="740"/>
      <c r="AL83" s="740"/>
      <c r="AM83" s="741"/>
      <c r="AN83" s="739"/>
      <c r="AO83" s="740"/>
      <c r="AP83" s="740"/>
      <c r="AQ83" s="741"/>
      <c r="AR83" s="101"/>
      <c r="AS83" s="97"/>
    </row>
    <row r="84" spans="1:45" ht="12.75" customHeight="1">
      <c r="A84" s="1"/>
      <c r="B84" s="769"/>
      <c r="C84" s="98" t="e">
        <f aca="true" ca="1" t="shared" si="0" ref="C84:C89">INDEX(OFFSET(Énergie,,-1,,),MATCH(D84,Énergie,0))</f>
        <v>#N/A</v>
      </c>
      <c r="D84" s="857" t="e">
        <f>P106</f>
        <v>#N/A</v>
      </c>
      <c r="E84" s="858"/>
      <c r="F84" s="858"/>
      <c r="G84" s="858"/>
      <c r="H84" s="858"/>
      <c r="I84" s="859"/>
      <c r="J84" s="856" t="e">
        <f aca="true" ca="1" t="shared" si="1" ref="J84:J89">IF(D84="","",INDEX(OFFSET(Énergie,,1),MATCH(D84,Énergie,0)))</f>
        <v>#N/A</v>
      </c>
      <c r="K84" s="856"/>
      <c r="L84" s="856"/>
      <c r="M84" s="856"/>
      <c r="N84" s="778"/>
      <c r="O84" s="779"/>
      <c r="P84" s="779"/>
      <c r="Q84" s="780"/>
      <c r="R84" s="736">
        <f>'Consommation actuelle'!E9</f>
        <v>0</v>
      </c>
      <c r="S84" s="737"/>
      <c r="T84" s="737"/>
      <c r="U84" s="738"/>
      <c r="V84" s="860">
        <f>'Consommation actuelle'!I9</f>
      </c>
      <c r="W84" s="861"/>
      <c r="X84" s="861"/>
      <c r="Y84" s="861"/>
      <c r="Z84" s="862"/>
      <c r="AA84" s="781" t="e">
        <f aca="true" ca="1" t="shared" si="2" ref="AA84:AA89">IF(D84="",0,INDEX(OFFSET(Énergie,,2),MATCH(D84,Énergie,0)))*R84/1000</f>
        <v>#N/A</v>
      </c>
      <c r="AB84" s="782"/>
      <c r="AC84" s="782"/>
      <c r="AD84" s="783"/>
      <c r="AE84" s="781" t="e">
        <f aca="true" ca="1" t="shared" si="3" ref="AE84:AE89">IF(D84="",0,INDEX(OFFSET(Énergie,,3),MATCH(D84,Énergie,0)))*R84/1000000</f>
        <v>#N/A</v>
      </c>
      <c r="AF84" s="782"/>
      <c r="AG84" s="782"/>
      <c r="AH84" s="782"/>
      <c r="AI84" s="783"/>
      <c r="AJ84" s="851" t="e">
        <f aca="true" t="shared" si="4" ref="AJ84:AJ90">IF(AA84=0,0,V84/AA84)</f>
        <v>#N/A</v>
      </c>
      <c r="AK84" s="852"/>
      <c r="AL84" s="852"/>
      <c r="AM84" s="853"/>
      <c r="AN84" s="778"/>
      <c r="AO84" s="779"/>
      <c r="AP84" s="779"/>
      <c r="AQ84" s="780"/>
      <c r="AR84" s="101"/>
      <c r="AS84" s="97"/>
    </row>
    <row r="85" spans="1:45" ht="12.75" customHeight="1">
      <c r="A85" s="1"/>
      <c r="B85" s="769"/>
      <c r="C85" s="98" t="e">
        <f ca="1" t="shared" si="0"/>
        <v>#N/A</v>
      </c>
      <c r="D85" s="857"/>
      <c r="E85" s="858"/>
      <c r="F85" s="858"/>
      <c r="G85" s="858"/>
      <c r="H85" s="858"/>
      <c r="I85" s="859"/>
      <c r="J85" s="856">
        <f ca="1" t="shared" si="1"/>
      </c>
      <c r="K85" s="856"/>
      <c r="L85" s="856"/>
      <c r="M85" s="856"/>
      <c r="N85" s="778"/>
      <c r="O85" s="779"/>
      <c r="P85" s="779"/>
      <c r="Q85" s="780"/>
      <c r="R85" s="736">
        <v>0</v>
      </c>
      <c r="S85" s="737"/>
      <c r="T85" s="737"/>
      <c r="U85" s="738"/>
      <c r="V85" s="860">
        <v>0</v>
      </c>
      <c r="W85" s="861"/>
      <c r="X85" s="861"/>
      <c r="Y85" s="861"/>
      <c r="Z85" s="862"/>
      <c r="AA85" s="781">
        <f ca="1" t="shared" si="2"/>
        <v>0</v>
      </c>
      <c r="AB85" s="782"/>
      <c r="AC85" s="782"/>
      <c r="AD85" s="783"/>
      <c r="AE85" s="781">
        <f ca="1" t="shared" si="3"/>
        <v>0</v>
      </c>
      <c r="AF85" s="782"/>
      <c r="AG85" s="782"/>
      <c r="AH85" s="782"/>
      <c r="AI85" s="783"/>
      <c r="AJ85" s="851">
        <f t="shared" si="4"/>
        <v>0</v>
      </c>
      <c r="AK85" s="852"/>
      <c r="AL85" s="852"/>
      <c r="AM85" s="853"/>
      <c r="AN85" s="778"/>
      <c r="AO85" s="779"/>
      <c r="AP85" s="779"/>
      <c r="AQ85" s="780"/>
      <c r="AR85" s="101"/>
      <c r="AS85" s="97"/>
    </row>
    <row r="86" spans="1:45" ht="12.75" customHeight="1">
      <c r="A86" s="1"/>
      <c r="B86" s="769"/>
      <c r="C86" s="98" t="e">
        <f ca="1" t="shared" si="0"/>
        <v>#N/A</v>
      </c>
      <c r="D86" s="857"/>
      <c r="E86" s="858"/>
      <c r="F86" s="858"/>
      <c r="G86" s="858"/>
      <c r="H86" s="858"/>
      <c r="I86" s="859"/>
      <c r="J86" s="856">
        <f ca="1" t="shared" si="1"/>
      </c>
      <c r="K86" s="856"/>
      <c r="L86" s="856"/>
      <c r="M86" s="856"/>
      <c r="N86" s="778"/>
      <c r="O86" s="779"/>
      <c r="P86" s="779"/>
      <c r="Q86" s="780"/>
      <c r="R86" s="736">
        <v>0</v>
      </c>
      <c r="S86" s="737"/>
      <c r="T86" s="737"/>
      <c r="U86" s="738"/>
      <c r="V86" s="860">
        <v>0</v>
      </c>
      <c r="W86" s="861"/>
      <c r="X86" s="861"/>
      <c r="Y86" s="861"/>
      <c r="Z86" s="862"/>
      <c r="AA86" s="781">
        <f ca="1" t="shared" si="2"/>
        <v>0</v>
      </c>
      <c r="AB86" s="782"/>
      <c r="AC86" s="782"/>
      <c r="AD86" s="783"/>
      <c r="AE86" s="781">
        <f ca="1" t="shared" si="3"/>
        <v>0</v>
      </c>
      <c r="AF86" s="782"/>
      <c r="AG86" s="782"/>
      <c r="AH86" s="782"/>
      <c r="AI86" s="783"/>
      <c r="AJ86" s="851">
        <f t="shared" si="4"/>
        <v>0</v>
      </c>
      <c r="AK86" s="852"/>
      <c r="AL86" s="852"/>
      <c r="AM86" s="853"/>
      <c r="AN86" s="778"/>
      <c r="AO86" s="779"/>
      <c r="AP86" s="779"/>
      <c r="AQ86" s="780"/>
      <c r="AR86" s="101"/>
      <c r="AS86" s="97"/>
    </row>
    <row r="87" spans="1:45" ht="12.75" customHeight="1">
      <c r="A87" s="1"/>
      <c r="B87" s="769"/>
      <c r="C87" s="98" t="e">
        <f ca="1" t="shared" si="0"/>
        <v>#N/A</v>
      </c>
      <c r="D87" s="857"/>
      <c r="E87" s="858"/>
      <c r="F87" s="858"/>
      <c r="G87" s="858"/>
      <c r="H87" s="858"/>
      <c r="I87" s="859"/>
      <c r="J87" s="856">
        <f ca="1" t="shared" si="1"/>
      </c>
      <c r="K87" s="856"/>
      <c r="L87" s="856"/>
      <c r="M87" s="856"/>
      <c r="N87" s="778"/>
      <c r="O87" s="779"/>
      <c r="P87" s="779"/>
      <c r="Q87" s="780"/>
      <c r="R87" s="736">
        <v>0</v>
      </c>
      <c r="S87" s="737"/>
      <c r="T87" s="737"/>
      <c r="U87" s="738"/>
      <c r="V87" s="860">
        <v>0</v>
      </c>
      <c r="W87" s="861"/>
      <c r="X87" s="861"/>
      <c r="Y87" s="861"/>
      <c r="Z87" s="862"/>
      <c r="AA87" s="781">
        <f ca="1" t="shared" si="2"/>
        <v>0</v>
      </c>
      <c r="AB87" s="782"/>
      <c r="AC87" s="782"/>
      <c r="AD87" s="783"/>
      <c r="AE87" s="781">
        <f ca="1" t="shared" si="3"/>
        <v>0</v>
      </c>
      <c r="AF87" s="782"/>
      <c r="AG87" s="782"/>
      <c r="AH87" s="782"/>
      <c r="AI87" s="783"/>
      <c r="AJ87" s="851">
        <f t="shared" si="4"/>
        <v>0</v>
      </c>
      <c r="AK87" s="852"/>
      <c r="AL87" s="852"/>
      <c r="AM87" s="853"/>
      <c r="AN87" s="778"/>
      <c r="AO87" s="779"/>
      <c r="AP87" s="779"/>
      <c r="AQ87" s="780"/>
      <c r="AR87" s="101"/>
      <c r="AS87" s="97"/>
    </row>
    <row r="88" spans="1:45" ht="12.75" customHeight="1">
      <c r="A88" s="1"/>
      <c r="B88" s="769"/>
      <c r="C88" s="98" t="e">
        <f ca="1" t="shared" si="0"/>
        <v>#N/A</v>
      </c>
      <c r="D88" s="857"/>
      <c r="E88" s="858"/>
      <c r="F88" s="858"/>
      <c r="G88" s="858"/>
      <c r="H88" s="858"/>
      <c r="I88" s="859"/>
      <c r="J88" s="856">
        <f ca="1" t="shared" si="1"/>
      </c>
      <c r="K88" s="856"/>
      <c r="L88" s="856"/>
      <c r="M88" s="856"/>
      <c r="N88" s="778"/>
      <c r="O88" s="779"/>
      <c r="P88" s="779"/>
      <c r="Q88" s="780"/>
      <c r="R88" s="736">
        <v>0</v>
      </c>
      <c r="S88" s="737"/>
      <c r="T88" s="737"/>
      <c r="U88" s="738"/>
      <c r="V88" s="860">
        <v>0</v>
      </c>
      <c r="W88" s="861"/>
      <c r="X88" s="861"/>
      <c r="Y88" s="861"/>
      <c r="Z88" s="862"/>
      <c r="AA88" s="781">
        <f ca="1" t="shared" si="2"/>
        <v>0</v>
      </c>
      <c r="AB88" s="782"/>
      <c r="AC88" s="782"/>
      <c r="AD88" s="783"/>
      <c r="AE88" s="781">
        <f ca="1" t="shared" si="3"/>
        <v>0</v>
      </c>
      <c r="AF88" s="782"/>
      <c r="AG88" s="782"/>
      <c r="AH88" s="782"/>
      <c r="AI88" s="783"/>
      <c r="AJ88" s="851">
        <f t="shared" si="4"/>
        <v>0</v>
      </c>
      <c r="AK88" s="852"/>
      <c r="AL88" s="852"/>
      <c r="AM88" s="853"/>
      <c r="AN88" s="778"/>
      <c r="AO88" s="779"/>
      <c r="AP88" s="779"/>
      <c r="AQ88" s="780"/>
      <c r="AR88" s="101"/>
      <c r="AS88" s="97"/>
    </row>
    <row r="89" spans="1:45" ht="12.75" customHeight="1">
      <c r="A89" s="1"/>
      <c r="B89" s="769"/>
      <c r="C89" s="98" t="e">
        <f ca="1" t="shared" si="0"/>
        <v>#N/A</v>
      </c>
      <c r="D89" s="857"/>
      <c r="E89" s="858"/>
      <c r="F89" s="858"/>
      <c r="G89" s="858"/>
      <c r="H89" s="858"/>
      <c r="I89" s="859"/>
      <c r="J89" s="856">
        <f ca="1" t="shared" si="1"/>
      </c>
      <c r="K89" s="856"/>
      <c r="L89" s="856"/>
      <c r="M89" s="856"/>
      <c r="N89" s="778"/>
      <c r="O89" s="779"/>
      <c r="P89" s="779"/>
      <c r="Q89" s="780"/>
      <c r="R89" s="736">
        <v>0</v>
      </c>
      <c r="S89" s="737"/>
      <c r="T89" s="737"/>
      <c r="U89" s="738"/>
      <c r="V89" s="860">
        <v>0</v>
      </c>
      <c r="W89" s="861"/>
      <c r="X89" s="861"/>
      <c r="Y89" s="861"/>
      <c r="Z89" s="862"/>
      <c r="AA89" s="781">
        <f ca="1" t="shared" si="2"/>
        <v>0</v>
      </c>
      <c r="AB89" s="782"/>
      <c r="AC89" s="782"/>
      <c r="AD89" s="783"/>
      <c r="AE89" s="781">
        <f ca="1" t="shared" si="3"/>
        <v>0</v>
      </c>
      <c r="AF89" s="782"/>
      <c r="AG89" s="782"/>
      <c r="AH89" s="782"/>
      <c r="AI89" s="783"/>
      <c r="AJ89" s="851">
        <f t="shared" si="4"/>
        <v>0</v>
      </c>
      <c r="AK89" s="852"/>
      <c r="AL89" s="852"/>
      <c r="AM89" s="853"/>
      <c r="AN89" s="778"/>
      <c r="AO89" s="779"/>
      <c r="AP89" s="779"/>
      <c r="AQ89" s="780"/>
      <c r="AR89" s="101"/>
      <c r="AS89" s="97"/>
    </row>
    <row r="90" spans="1:54" ht="12.75" customHeight="1">
      <c r="A90" s="1"/>
      <c r="B90" s="769"/>
      <c r="C90" s="102"/>
      <c r="D90" s="955" t="s">
        <v>125</v>
      </c>
      <c r="E90" s="956"/>
      <c r="F90" s="956"/>
      <c r="G90" s="956"/>
      <c r="H90" s="956"/>
      <c r="I90" s="956"/>
      <c r="J90" s="956"/>
      <c r="K90" s="956"/>
      <c r="L90" s="956"/>
      <c r="M90" s="957"/>
      <c r="N90" s="778"/>
      <c r="O90" s="779"/>
      <c r="P90" s="779"/>
      <c r="Q90" s="780"/>
      <c r="R90" s="823"/>
      <c r="S90" s="824"/>
      <c r="T90" s="824"/>
      <c r="U90" s="825"/>
      <c r="V90" s="848">
        <f>SUM(V84:Z89)</f>
        <v>0</v>
      </c>
      <c r="W90" s="849"/>
      <c r="X90" s="849"/>
      <c r="Y90" s="849"/>
      <c r="Z90" s="850"/>
      <c r="AA90" s="781" t="e">
        <f>SUM(AA84:AA89)</f>
        <v>#N/A</v>
      </c>
      <c r="AB90" s="782"/>
      <c r="AC90" s="782"/>
      <c r="AD90" s="783"/>
      <c r="AE90" s="781" t="e">
        <f>SUM(AE84:AE89)</f>
        <v>#N/A</v>
      </c>
      <c r="AF90" s="782"/>
      <c r="AG90" s="782"/>
      <c r="AH90" s="782"/>
      <c r="AI90" s="783"/>
      <c r="AJ90" s="851" t="e">
        <f t="shared" si="4"/>
        <v>#N/A</v>
      </c>
      <c r="AK90" s="852"/>
      <c r="AL90" s="852"/>
      <c r="AM90" s="853"/>
      <c r="AN90" s="778"/>
      <c r="AO90" s="779"/>
      <c r="AP90" s="779"/>
      <c r="AQ90" s="780"/>
      <c r="AR90" s="101"/>
      <c r="AS90" s="97"/>
      <c r="BB90" s="34"/>
    </row>
    <row r="91" spans="1:45" ht="6" customHeight="1" thickBot="1">
      <c r="A91" s="1"/>
      <c r="B91" s="770"/>
      <c r="C91" s="103"/>
      <c r="D91" s="937"/>
      <c r="E91" s="937"/>
      <c r="F91" s="937"/>
      <c r="G91" s="937"/>
      <c r="H91" s="937"/>
      <c r="I91" s="937"/>
      <c r="J91" s="937"/>
      <c r="K91" s="937"/>
      <c r="L91" s="937"/>
      <c r="M91" s="937"/>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104"/>
      <c r="AS91" s="97"/>
    </row>
    <row r="92" spans="1:45" ht="12.75" customHeight="1" hidden="1">
      <c r="A92" s="1"/>
      <c r="B92" s="768" t="s">
        <v>943</v>
      </c>
      <c r="C92" s="95"/>
      <c r="D92" s="771"/>
      <c r="E92" s="771"/>
      <c r="F92" s="771"/>
      <c r="G92" s="771"/>
      <c r="H92" s="771"/>
      <c r="I92" s="771"/>
      <c r="J92" s="771"/>
      <c r="K92" s="771"/>
      <c r="L92" s="771"/>
      <c r="M92" s="771"/>
      <c r="N92" s="771"/>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1"/>
      <c r="AM92" s="771"/>
      <c r="AN92" s="771"/>
      <c r="AO92" s="771"/>
      <c r="AP92" s="771"/>
      <c r="AQ92" s="771"/>
      <c r="AR92" s="101"/>
      <c r="AS92" s="97"/>
    </row>
    <row r="93" spans="1:45" ht="12.75" customHeight="1" hidden="1">
      <c r="A93" s="1"/>
      <c r="B93" s="769"/>
      <c r="C93" s="98"/>
      <c r="AR93" s="99"/>
      <c r="AS93" s="97"/>
    </row>
    <row r="94" spans="1:45" ht="12.75" customHeight="1" hidden="1">
      <c r="A94" s="1"/>
      <c r="B94" s="769"/>
      <c r="C94" s="98"/>
      <c r="AR94" s="99"/>
      <c r="AS94" s="97"/>
    </row>
    <row r="95" spans="1:45" ht="12.75" customHeight="1" hidden="1">
      <c r="A95" s="1"/>
      <c r="B95" s="769"/>
      <c r="C95" s="190" t="s">
        <v>705</v>
      </c>
      <c r="AR95" s="101"/>
      <c r="AS95" s="97"/>
    </row>
    <row r="96" spans="1:45" ht="12.75" customHeight="1" hidden="1">
      <c r="A96" s="1"/>
      <c r="B96" s="769"/>
      <c r="C96" s="98">
        <f ca="1">INDEX(OFFSET(PRP,,-1,,),MATCH(J113,PRP,0))</f>
        <v>10</v>
      </c>
      <c r="AR96" s="101"/>
      <c r="AS96" s="97"/>
    </row>
    <row r="97" spans="1:45" ht="12.75" customHeight="1" hidden="1">
      <c r="A97" s="1"/>
      <c r="B97" s="769"/>
      <c r="C97" s="98">
        <f ca="1">INDEX(OFFSET(PRP,,-1,,),MATCH(J114,PRP,0))</f>
        <v>10</v>
      </c>
      <c r="AR97" s="101"/>
      <c r="AS97" s="97"/>
    </row>
    <row r="98" spans="1:45" ht="12.75" customHeight="1" hidden="1">
      <c r="A98" s="1"/>
      <c r="B98" s="769"/>
      <c r="C98" s="98">
        <f ca="1">INDEX(OFFSET(PRP,,-1,,),MATCH(J115,PRP,0))</f>
        <v>10</v>
      </c>
      <c r="AR98" s="101"/>
      <c r="AS98" s="97"/>
    </row>
    <row r="99" spans="1:45" ht="12.75" customHeight="1" hidden="1">
      <c r="A99" s="1"/>
      <c r="B99" s="769"/>
      <c r="C99" s="98">
        <f ca="1">INDEX(OFFSET(PRP,,-1,,),MATCH(J116,PRP,0))</f>
        <v>10</v>
      </c>
      <c r="AR99" s="101"/>
      <c r="AS99" s="97"/>
    </row>
    <row r="100" spans="1:45" ht="12.75" customHeight="1" hidden="1">
      <c r="A100" s="1"/>
      <c r="B100" s="769"/>
      <c r="C100" s="98"/>
      <c r="AR100" s="101"/>
      <c r="AS100" s="97"/>
    </row>
    <row r="101" spans="1:45" ht="12.75" customHeight="1" hidden="1">
      <c r="A101" s="1"/>
      <c r="B101" s="769"/>
      <c r="C101" s="98"/>
      <c r="AR101" s="101"/>
      <c r="AS101" s="97"/>
    </row>
    <row r="102" spans="1:45" ht="12.75" customHeight="1" hidden="1">
      <c r="A102" s="1"/>
      <c r="B102" s="769"/>
      <c r="C102" s="102"/>
      <c r="AR102" s="101"/>
      <c r="AS102" s="97"/>
    </row>
    <row r="103" spans="1:45" ht="12.75" customHeight="1" hidden="1" thickBot="1">
      <c r="A103" s="1"/>
      <c r="B103" s="770"/>
      <c r="C103" s="103"/>
      <c r="D103" s="835"/>
      <c r="E103" s="835"/>
      <c r="F103" s="835"/>
      <c r="G103" s="835"/>
      <c r="H103" s="835"/>
      <c r="I103" s="835"/>
      <c r="J103" s="835"/>
      <c r="K103" s="835"/>
      <c r="L103" s="835"/>
      <c r="M103" s="835"/>
      <c r="N103" s="835"/>
      <c r="O103" s="835"/>
      <c r="P103" s="835"/>
      <c r="Q103" s="835"/>
      <c r="R103" s="835"/>
      <c r="S103" s="835"/>
      <c r="T103" s="835"/>
      <c r="U103" s="835"/>
      <c r="V103" s="835"/>
      <c r="W103" s="835"/>
      <c r="X103" s="835"/>
      <c r="Y103" s="835"/>
      <c r="Z103" s="835"/>
      <c r="AA103" s="835"/>
      <c r="AB103" s="835"/>
      <c r="AC103" s="835"/>
      <c r="AD103" s="835"/>
      <c r="AE103" s="835"/>
      <c r="AF103" s="835"/>
      <c r="AG103" s="835"/>
      <c r="AH103" s="835"/>
      <c r="AI103" s="835"/>
      <c r="AJ103" s="835"/>
      <c r="AK103" s="835"/>
      <c r="AL103" s="835"/>
      <c r="AM103" s="835"/>
      <c r="AN103" s="835"/>
      <c r="AO103" s="835"/>
      <c r="AP103" s="835"/>
      <c r="AQ103" s="835"/>
      <c r="AR103" s="104"/>
      <c r="AS103" s="97"/>
    </row>
    <row r="104" spans="1:45" ht="6" customHeight="1">
      <c r="A104" s="1"/>
      <c r="B104" s="768" t="s">
        <v>1005</v>
      </c>
      <c r="C104" s="98"/>
      <c r="D104" s="311"/>
      <c r="E104" s="311"/>
      <c r="F104" s="311"/>
      <c r="G104" s="311"/>
      <c r="H104" s="311"/>
      <c r="I104" s="311"/>
      <c r="J104" s="311"/>
      <c r="K104" s="311"/>
      <c r="L104" s="311"/>
      <c r="M104" s="311"/>
      <c r="N104" s="311"/>
      <c r="O104" s="311"/>
      <c r="P104" s="311"/>
      <c r="Q104" s="311"/>
      <c r="R104" s="311"/>
      <c r="S104" s="311"/>
      <c r="T104" s="311"/>
      <c r="U104" s="311"/>
      <c r="V104" s="948" t="e">
        <f>IF(F106="Choisir…","",CHOOSE(MATCH(F106,Mesures,0)-1,"","","","","TypeSys","TypeSys","TypeSys","",""))</f>
        <v>#N/A</v>
      </c>
      <c r="W104" s="948"/>
      <c r="X104" s="948"/>
      <c r="Y104" s="948"/>
      <c r="Z104" s="948"/>
      <c r="AA104" s="948"/>
      <c r="AB104" s="948"/>
      <c r="AC104" s="948"/>
      <c r="AD104" s="948"/>
      <c r="AE104" s="311"/>
      <c r="AF104" s="311"/>
      <c r="AG104" s="311"/>
      <c r="AH104" s="311"/>
      <c r="AI104" s="311"/>
      <c r="AJ104" s="311"/>
      <c r="AK104" s="311"/>
      <c r="AL104" s="311"/>
      <c r="AM104" s="311"/>
      <c r="AN104" s="311"/>
      <c r="AO104" s="311"/>
      <c r="AP104" s="311"/>
      <c r="AQ104" s="311"/>
      <c r="AR104" s="214"/>
      <c r="AS104" s="97"/>
    </row>
    <row r="105" spans="1:46" ht="12.75" customHeight="1">
      <c r="A105" s="1"/>
      <c r="B105" s="769"/>
      <c r="C105" s="98"/>
      <c r="D105" s="739" t="s">
        <v>945</v>
      </c>
      <c r="E105" s="741"/>
      <c r="F105" s="739" t="s">
        <v>948</v>
      </c>
      <c r="G105" s="740"/>
      <c r="H105" s="740"/>
      <c r="I105" s="740"/>
      <c r="J105" s="740"/>
      <c r="K105" s="740"/>
      <c r="L105" s="740"/>
      <c r="M105" s="740"/>
      <c r="N105" s="740"/>
      <c r="O105" s="741"/>
      <c r="P105" s="742" t="e">
        <f>IF(MATCH('1. Demande'!F106,Mesures,0)=9,"","Énergie (chauffage)")</f>
        <v>#N/A</v>
      </c>
      <c r="Q105" s="743"/>
      <c r="R105" s="743"/>
      <c r="S105" s="743"/>
      <c r="T105" s="743"/>
      <c r="U105" s="744"/>
      <c r="V105" s="739" t="e">
        <f>IF(V104="TypeSys","Type de système de remplacement",IF(Data!G57=9,"Coûts ($)",""))</f>
        <v>#N/A</v>
      </c>
      <c r="W105" s="740"/>
      <c r="X105" s="740"/>
      <c r="Y105" s="740"/>
      <c r="Z105" s="740"/>
      <c r="AA105" s="740"/>
      <c r="AB105" s="740"/>
      <c r="AC105" s="740"/>
      <c r="AD105" s="741"/>
      <c r="AE105" s="739" t="s">
        <v>910</v>
      </c>
      <c r="AF105" s="740"/>
      <c r="AG105" s="740"/>
      <c r="AH105" s="740"/>
      <c r="AI105" s="741"/>
      <c r="AJ105" s="739" t="s">
        <v>946</v>
      </c>
      <c r="AK105" s="740"/>
      <c r="AL105" s="740"/>
      <c r="AM105" s="741"/>
      <c r="AN105" s="739" t="s">
        <v>947</v>
      </c>
      <c r="AO105" s="740"/>
      <c r="AP105" s="740"/>
      <c r="AQ105" s="741"/>
      <c r="AR105" s="214"/>
      <c r="AS105" s="97"/>
      <c r="AT105" t="e">
        <f>V104</f>
        <v>#N/A</v>
      </c>
    </row>
    <row r="106" spans="1:46" ht="12.75" customHeight="1">
      <c r="A106" s="1"/>
      <c r="B106" s="769"/>
      <c r="C106" s="464" t="e">
        <f>IF(F106="Choisir…","",CHOOSE(MATCH(F106,Mesures,0)-1,"NRJCO2","NRJEvap","NRJEvap","NRJEvap","NRJChauf","NRJChauf","NRJChauf"))</f>
        <v>#N/A</v>
      </c>
      <c r="D106" s="942">
        <v>1</v>
      </c>
      <c r="E106" s="943"/>
      <c r="F106" s="820" t="e">
        <f>INDEX(Data!B263:B265,MATCH(Demande!B52,Data!N263:N265,0))</f>
        <v>#N/A</v>
      </c>
      <c r="G106" s="821"/>
      <c r="H106" s="821"/>
      <c r="I106" s="821"/>
      <c r="J106" s="821"/>
      <c r="K106" s="821"/>
      <c r="L106" s="821"/>
      <c r="M106" s="821"/>
      <c r="N106" s="821"/>
      <c r="O106" s="822"/>
      <c r="P106" s="857" t="e">
        <f>INDEX(Data!C120:C121,MATCH(Demande!E52,Data!O120:O121,0))</f>
        <v>#N/A</v>
      </c>
      <c r="Q106" s="858"/>
      <c r="R106" s="858"/>
      <c r="S106" s="858"/>
      <c r="T106" s="858"/>
      <c r="U106" s="859"/>
      <c r="V106" s="836" t="e">
        <f>IF(Demande!G52=Data!P123,Data!H121,INDEX(Data!H120:H122,MATCH(Demande!G52,Data!P120:P122,0)))</f>
        <v>#N/A</v>
      </c>
      <c r="W106" s="837"/>
      <c r="X106" s="837"/>
      <c r="Y106" s="837"/>
      <c r="Z106" s="837"/>
      <c r="AA106" s="837"/>
      <c r="AB106" s="837"/>
      <c r="AC106" s="837"/>
      <c r="AD106" s="838"/>
      <c r="AE106" s="823" t="e">
        <f>'2. Plan d''implantation'!P50</f>
        <v>#N/A</v>
      </c>
      <c r="AF106" s="824"/>
      <c r="AG106" s="824"/>
      <c r="AH106" s="824"/>
      <c r="AI106" s="825"/>
      <c r="AJ106" s="826" t="e">
        <f>'2. Plan d''implantation'!N50</f>
        <v>#N/A</v>
      </c>
      <c r="AK106" s="827"/>
      <c r="AL106" s="827"/>
      <c r="AM106" s="828"/>
      <c r="AN106" s="832" t="e">
        <f>'2. Plan d''implantation'!U50</f>
        <v>#N/A</v>
      </c>
      <c r="AO106" s="833"/>
      <c r="AP106" s="833"/>
      <c r="AQ106" s="834"/>
      <c r="AR106" s="214"/>
      <c r="AS106" s="97"/>
      <c r="AT106" t="e">
        <f>C106</f>
        <v>#N/A</v>
      </c>
    </row>
    <row r="107" spans="1:45" ht="3.75" customHeight="1">
      <c r="A107" s="1"/>
      <c r="B107" s="769"/>
      <c r="C107" s="98"/>
      <c r="D107" s="750"/>
      <c r="E107" s="750"/>
      <c r="F107" s="750"/>
      <c r="G107" s="750"/>
      <c r="H107" s="750"/>
      <c r="I107" s="750"/>
      <c r="J107" s="750"/>
      <c r="K107" s="750"/>
      <c r="L107" s="750"/>
      <c r="M107" s="750"/>
      <c r="N107" s="750"/>
      <c r="O107" s="750"/>
      <c r="P107" s="750"/>
      <c r="Q107" s="750"/>
      <c r="R107" s="750"/>
      <c r="S107" s="750"/>
      <c r="T107" s="750"/>
      <c r="U107" s="750"/>
      <c r="V107" s="750"/>
      <c r="W107" s="750"/>
      <c r="X107" s="750"/>
      <c r="Y107" s="750"/>
      <c r="Z107" s="750"/>
      <c r="AA107" s="750"/>
      <c r="AB107" s="750"/>
      <c r="AC107" s="750"/>
      <c r="AD107" s="750"/>
      <c r="AE107" s="750"/>
      <c r="AF107" s="750"/>
      <c r="AG107" s="750"/>
      <c r="AH107" s="750"/>
      <c r="AI107" s="750"/>
      <c r="AJ107" s="750"/>
      <c r="AK107" s="750"/>
      <c r="AL107" s="750"/>
      <c r="AM107" s="750"/>
      <c r="AN107" s="750"/>
      <c r="AO107" s="750"/>
      <c r="AP107" s="750"/>
      <c r="AQ107" s="750"/>
      <c r="AR107" s="214"/>
      <c r="AS107" s="97"/>
    </row>
    <row r="108" spans="1:47" ht="12.75" customHeight="1" thickBot="1">
      <c r="A108" s="1"/>
      <c r="B108" s="769"/>
      <c r="C108" s="464" t="e">
        <f>IF(F106="Choisir…","",CHOOSE(MATCH(F106,Mesures,0)-1,"NRJCO2","NRJEvap","NRJEvap","NRJEvap","NRJChauf","NRJChauf","NRJChauf"))</f>
        <v>#N/A</v>
      </c>
      <c r="D108" s="839"/>
      <c r="E108" s="840"/>
      <c r="F108" s="840"/>
      <c r="G108" s="840"/>
      <c r="H108" s="840"/>
      <c r="I108" s="840"/>
      <c r="J108" s="840"/>
      <c r="K108" s="840"/>
      <c r="L108" s="840"/>
      <c r="M108" s="840"/>
      <c r="N108" s="840"/>
      <c r="O108" s="841"/>
      <c r="P108" s="784" t="e">
        <f>IF(MATCH('1. Demande'!F106,Mesures,0)&lt;&gt;2,IF(OR(MATCH('1. Demande'!F106,Mesures,0)=6,MATCH('1. Demande'!F106,Mesures,0)=7,MATCH('1. Demande'!F106,Mesures,0)=8)=TRUE,"Nombre d'étage",""),"Superficie (pour bâtiment)")</f>
        <v>#N/A</v>
      </c>
      <c r="Q108" s="785"/>
      <c r="R108" s="785"/>
      <c r="S108" s="785"/>
      <c r="T108" s="785"/>
      <c r="U108" s="786"/>
      <c r="V108" s="842">
        <f>Demande!E54</f>
        <v>0</v>
      </c>
      <c r="W108" s="843"/>
      <c r="X108" s="843"/>
      <c r="Y108" s="843"/>
      <c r="Z108" s="844"/>
      <c r="AA108" s="787" t="e">
        <f>IF(MATCH('1. Demande'!F106,Mesures,0)&lt;&gt;2,"","Unité")</f>
        <v>#N/A</v>
      </c>
      <c r="AB108" s="789"/>
      <c r="AC108" s="790"/>
      <c r="AD108" s="790"/>
      <c r="AE108" s="787" t="e">
        <f>IF(OR(MATCH('1. Demande'!F106,Mesures,0)=3,MATCH('1. Demande'!F106,Mesures,0)=4,MATCH('1. Demande'!F106,Mesures,0)=5)=TRUE,"Production",IF(MATCH('1. Demande'!F106,Mesures,0)=2,"Surface de vente",IF(OR(MATCH('1. Demande'!F106,Mesures,0)=6,MATCH('1. Demande'!F106,Mesures,0)=7,MATCH('1. Demande'!F106,Mesures,0)=8)=TRUE,"Superficie projetée","")))</f>
        <v>#N/A</v>
      </c>
      <c r="AF108" s="788"/>
      <c r="AG108" s="788"/>
      <c r="AH108" s="788"/>
      <c r="AI108" s="789"/>
      <c r="AJ108" s="845">
        <f>Demande!H54</f>
        <v>0</v>
      </c>
      <c r="AK108" s="846"/>
      <c r="AL108" s="846"/>
      <c r="AM108" s="847"/>
      <c r="AN108" s="787" t="e">
        <f>IF(MATCH('1. Demande'!F106,Mesures,0)=1,"","Unité")</f>
        <v>#N/A</v>
      </c>
      <c r="AO108" s="789"/>
      <c r="AP108" s="801">
        <f>Demande!J54</f>
        <v>0</v>
      </c>
      <c r="AQ108" s="802"/>
      <c r="AR108" s="214"/>
      <c r="AS108" s="97"/>
      <c r="AT108" s="458" t="e">
        <f>IF(OR(MATCH(F106,Mesures,0)=3,MATCH(F106,Mesures,0)=4,MATCH(F106,Mesures,0)=5)=TRUE,"Unite_Masse",IF(MATCH(F106,Mesures,0)=2,"Unite_Surface","Unite_Surface"))</f>
        <v>#N/A</v>
      </c>
      <c r="AU108" s="463" t="b">
        <v>0</v>
      </c>
    </row>
    <row r="109" spans="1:45" ht="4.5" customHeight="1">
      <c r="A109" s="1"/>
      <c r="B109" s="769"/>
      <c r="C109" s="98"/>
      <c r="D109" s="312"/>
      <c r="E109" s="312"/>
      <c r="F109" s="312"/>
      <c r="G109" s="312"/>
      <c r="H109" s="312"/>
      <c r="I109" s="312"/>
      <c r="J109" s="312"/>
      <c r="K109" s="312"/>
      <c r="L109" s="312"/>
      <c r="M109" s="312"/>
      <c r="N109" s="312"/>
      <c r="O109" s="312"/>
      <c r="P109" s="213"/>
      <c r="Q109" s="213"/>
      <c r="R109" s="213"/>
      <c r="S109" s="213"/>
      <c r="T109" s="213"/>
      <c r="U109" s="213"/>
      <c r="V109" s="316"/>
      <c r="W109" s="316"/>
      <c r="X109" s="316"/>
      <c r="Y109" s="316"/>
      <c r="Z109" s="316"/>
      <c r="AA109" s="212"/>
      <c r="AB109" s="212"/>
      <c r="AC109" s="313"/>
      <c r="AD109" s="313"/>
      <c r="AE109" s="212"/>
      <c r="AF109" s="212"/>
      <c r="AG109" s="212"/>
      <c r="AH109" s="212"/>
      <c r="AI109" s="212"/>
      <c r="AJ109" s="314"/>
      <c r="AK109" s="314"/>
      <c r="AL109" s="314"/>
      <c r="AM109" s="314"/>
      <c r="AN109" s="212"/>
      <c r="AO109" s="212"/>
      <c r="AP109" s="315"/>
      <c r="AQ109" s="315"/>
      <c r="AR109" s="214"/>
      <c r="AS109" s="97"/>
    </row>
    <row r="110" spans="1:45" ht="12.75" customHeight="1" hidden="1">
      <c r="A110" s="1"/>
      <c r="B110" s="769"/>
      <c r="C110" s="98"/>
      <c r="D110" s="233" t="s">
        <v>885</v>
      </c>
      <c r="E110" s="234"/>
      <c r="F110" s="234"/>
      <c r="G110" s="238"/>
      <c r="H110" s="238"/>
      <c r="I110" s="238"/>
      <c r="J110" s="238"/>
      <c r="K110" s="238"/>
      <c r="L110" s="238"/>
      <c r="M110" s="236"/>
      <c r="N110" s="236"/>
      <c r="O110" s="236"/>
      <c r="P110" s="236"/>
      <c r="Q110" s="236"/>
      <c r="R110" s="236"/>
      <c r="S110" s="236"/>
      <c r="T110" s="236"/>
      <c r="U110" s="239"/>
      <c r="V110" s="735" t="s">
        <v>664</v>
      </c>
      <c r="W110" s="735"/>
      <c r="X110" s="735"/>
      <c r="Y110" s="735"/>
      <c r="Z110" s="735"/>
      <c r="AA110" s="803">
        <f>IF(Data!$G$59=TRUE,Data!H59,Data!H57)</f>
        <v>0.15</v>
      </c>
      <c r="AB110" s="804"/>
      <c r="AC110" s="805"/>
      <c r="AD110" s="237"/>
      <c r="AJ110" s="232"/>
      <c r="AK110" s="232"/>
      <c r="AL110" s="232"/>
      <c r="AM110" s="232"/>
      <c r="AN110" s="232"/>
      <c r="AO110" s="232"/>
      <c r="AP110" s="232"/>
      <c r="AQ110" s="232"/>
      <c r="AR110" s="214"/>
      <c r="AS110" s="97"/>
    </row>
    <row r="111" spans="1:45" ht="12.75" customHeight="1" hidden="1">
      <c r="A111" s="1"/>
      <c r="B111" s="769"/>
      <c r="C111" s="98"/>
      <c r="D111" s="735"/>
      <c r="E111" s="735"/>
      <c r="F111" s="735"/>
      <c r="G111" s="735" t="s">
        <v>104</v>
      </c>
      <c r="H111" s="735"/>
      <c r="I111" s="735"/>
      <c r="J111" s="735"/>
      <c r="K111" s="735"/>
      <c r="L111" s="735"/>
      <c r="M111" s="735"/>
      <c r="N111" s="735"/>
      <c r="O111" s="735"/>
      <c r="P111" s="735"/>
      <c r="Q111" s="735"/>
      <c r="R111" s="735"/>
      <c r="S111" s="735"/>
      <c r="T111" s="735"/>
      <c r="U111" s="735"/>
      <c r="V111" s="735"/>
      <c r="W111" s="735"/>
      <c r="X111" s="735"/>
      <c r="Y111" s="735"/>
      <c r="Z111" s="760" t="s">
        <v>105</v>
      </c>
      <c r="AA111" s="760"/>
      <c r="AB111" s="760"/>
      <c r="AC111" s="760"/>
      <c r="AD111" s="760"/>
      <c r="AE111" s="760"/>
      <c r="AF111" s="760"/>
      <c r="AG111" s="760"/>
      <c r="AH111" s="760"/>
      <c r="AI111" s="760"/>
      <c r="AJ111" s="760"/>
      <c r="AK111" s="760"/>
      <c r="AL111" s="760"/>
      <c r="AM111" s="760"/>
      <c r="AN111" s="760"/>
      <c r="AO111" s="760"/>
      <c r="AP111" s="760"/>
      <c r="AQ111" s="760"/>
      <c r="AR111" s="214"/>
      <c r="AS111" s="97"/>
    </row>
    <row r="112" spans="1:45" ht="12.75" customHeight="1" hidden="1">
      <c r="A112" s="1"/>
      <c r="B112" s="769"/>
      <c r="C112" s="98"/>
      <c r="D112" s="466" t="s">
        <v>72</v>
      </c>
      <c r="E112" s="767" t="s">
        <v>73</v>
      </c>
      <c r="F112" s="767"/>
      <c r="G112" s="739" t="s">
        <v>71</v>
      </c>
      <c r="H112" s="740"/>
      <c r="I112" s="741"/>
      <c r="J112" s="742" t="s">
        <v>661</v>
      </c>
      <c r="K112" s="743"/>
      <c r="L112" s="743"/>
      <c r="M112" s="743"/>
      <c r="N112" s="743"/>
      <c r="O112" s="744"/>
      <c r="P112" s="735" t="s">
        <v>256</v>
      </c>
      <c r="Q112" s="735"/>
      <c r="R112" s="739" t="s">
        <v>138</v>
      </c>
      <c r="S112" s="740"/>
      <c r="T112" s="741"/>
      <c r="U112" s="735" t="s">
        <v>120</v>
      </c>
      <c r="V112" s="735"/>
      <c r="W112" s="735"/>
      <c r="X112" s="735" t="s">
        <v>245</v>
      </c>
      <c r="Y112" s="735"/>
      <c r="Z112" s="739" t="s">
        <v>71</v>
      </c>
      <c r="AA112" s="740"/>
      <c r="AB112" s="741"/>
      <c r="AC112" s="742" t="s">
        <v>661</v>
      </c>
      <c r="AD112" s="743"/>
      <c r="AE112" s="743"/>
      <c r="AF112" s="743"/>
      <c r="AG112" s="743"/>
      <c r="AH112" s="744"/>
      <c r="AI112" s="735" t="s">
        <v>256</v>
      </c>
      <c r="AJ112" s="735"/>
      <c r="AK112" s="735" t="s">
        <v>138</v>
      </c>
      <c r="AL112" s="735"/>
      <c r="AM112" s="735"/>
      <c r="AN112" s="735" t="s">
        <v>120</v>
      </c>
      <c r="AO112" s="735"/>
      <c r="AP112" s="735" t="s">
        <v>245</v>
      </c>
      <c r="AQ112" s="735"/>
      <c r="AR112" s="214"/>
      <c r="AS112" s="97"/>
    </row>
    <row r="113" spans="1:45" ht="12.75" customHeight="1" hidden="1">
      <c r="A113" s="1"/>
      <c r="B113" s="769"/>
      <c r="C113" s="98"/>
      <c r="D113" s="170">
        <v>1</v>
      </c>
      <c r="E113" s="745" t="s">
        <v>74</v>
      </c>
      <c r="F113" s="745"/>
      <c r="G113" s="751"/>
      <c r="H113" s="752"/>
      <c r="I113" s="753"/>
      <c r="J113" s="747" t="s">
        <v>365</v>
      </c>
      <c r="K113" s="748"/>
      <c r="L113" s="748"/>
      <c r="M113" s="748"/>
      <c r="N113" s="748"/>
      <c r="O113" s="749"/>
      <c r="P113" s="746">
        <f aca="true" ca="1" t="shared" si="5" ref="P113:P118">IF(J113="","",INDEX(OFFSET(PRP,,3),MATCH(J113,PRP,0)))</f>
        <v>1300</v>
      </c>
      <c r="Q113" s="746"/>
      <c r="R113" s="761">
        <f aca="true" t="shared" si="6" ref="R113:R118">12.672*G113</f>
        <v>0</v>
      </c>
      <c r="S113" s="762"/>
      <c r="T113" s="763"/>
      <c r="U113" s="773" t="s">
        <v>292</v>
      </c>
      <c r="V113" s="774"/>
      <c r="W113" s="775"/>
      <c r="X113" s="772">
        <f aca="true" ca="1" t="shared" si="7" ref="X113:X118">IF(U113="Choisir...",0,INDEX(OFFSET(Unite,,1,,),MATCH(U113,Unite,0))*R113*IF(P113="",0,P113)*AA$110/1000)</f>
        <v>0</v>
      </c>
      <c r="Y113" s="772"/>
      <c r="Z113" s="772">
        <f aca="true" t="shared" si="8" ref="Z113:Z118">G113</f>
        <v>0</v>
      </c>
      <c r="AA113" s="772"/>
      <c r="AB113" s="772"/>
      <c r="AC113" s="747" t="s">
        <v>813</v>
      </c>
      <c r="AD113" s="748"/>
      <c r="AE113" s="748"/>
      <c r="AF113" s="748"/>
      <c r="AG113" s="748"/>
      <c r="AH113" s="749"/>
      <c r="AI113" s="746">
        <f aca="true" ca="1" t="shared" si="9" ref="AI113:AI118">IF(AC113="","",INDEX(OFFSET(PRP,,3),MATCH(AC113,PRP,0)))</f>
        <v>1</v>
      </c>
      <c r="AJ113" s="746"/>
      <c r="AK113" s="776">
        <f aca="true" t="shared" si="10" ref="AK113:AK118">IF(SUM($Z$113:$AB$118)=0,0,(7.5686*SUM($Z$113:$AB$118)+528.91)*Z113/SUM($Z$113:$AB$118))</f>
        <v>0</v>
      </c>
      <c r="AL113" s="776"/>
      <c r="AM113" s="776"/>
      <c r="AN113" s="777" t="s">
        <v>292</v>
      </c>
      <c r="AO113" s="777"/>
      <c r="AP113" s="772">
        <f aca="true" ca="1" t="shared" si="11" ref="AP113:AP118">IF(AN113="",0,INDEX(OFFSET(Unite,,1,,),MATCH(AN113,Unite,0))*AK113*IF(AI113="",0,AI113)*AA$110/1000)</f>
        <v>0</v>
      </c>
      <c r="AQ113" s="772"/>
      <c r="AR113" s="214"/>
      <c r="AS113" s="97"/>
    </row>
    <row r="114" spans="1:45" ht="12.75" customHeight="1" hidden="1">
      <c r="A114" s="1"/>
      <c r="B114" s="769"/>
      <c r="C114" s="98"/>
      <c r="D114" s="170">
        <v>2</v>
      </c>
      <c r="E114" s="745" t="s">
        <v>964</v>
      </c>
      <c r="F114" s="745"/>
      <c r="G114" s="751"/>
      <c r="H114" s="752"/>
      <c r="I114" s="753"/>
      <c r="J114" s="747" t="s">
        <v>365</v>
      </c>
      <c r="K114" s="748"/>
      <c r="L114" s="748"/>
      <c r="M114" s="748"/>
      <c r="N114" s="748"/>
      <c r="O114" s="749"/>
      <c r="P114" s="746">
        <f ca="1" t="shared" si="5"/>
        <v>1300</v>
      </c>
      <c r="Q114" s="746"/>
      <c r="R114" s="761">
        <f t="shared" si="6"/>
        <v>0</v>
      </c>
      <c r="S114" s="762"/>
      <c r="T114" s="763"/>
      <c r="U114" s="773" t="s">
        <v>292</v>
      </c>
      <c r="V114" s="774"/>
      <c r="W114" s="775"/>
      <c r="X114" s="772">
        <f ca="1" t="shared" si="7"/>
        <v>0</v>
      </c>
      <c r="Y114" s="772"/>
      <c r="Z114" s="772">
        <f t="shared" si="8"/>
        <v>0</v>
      </c>
      <c r="AA114" s="772"/>
      <c r="AB114" s="772"/>
      <c r="AC114" s="747" t="s">
        <v>813</v>
      </c>
      <c r="AD114" s="748"/>
      <c r="AE114" s="748"/>
      <c r="AF114" s="748"/>
      <c r="AG114" s="748"/>
      <c r="AH114" s="749"/>
      <c r="AI114" s="746">
        <f ca="1" t="shared" si="9"/>
        <v>1</v>
      </c>
      <c r="AJ114" s="746"/>
      <c r="AK114" s="776">
        <f t="shared" si="10"/>
        <v>0</v>
      </c>
      <c r="AL114" s="776"/>
      <c r="AM114" s="776"/>
      <c r="AN114" s="777" t="s">
        <v>292</v>
      </c>
      <c r="AO114" s="777"/>
      <c r="AP114" s="772">
        <f ca="1" t="shared" si="11"/>
        <v>0</v>
      </c>
      <c r="AQ114" s="772"/>
      <c r="AR114" s="214"/>
      <c r="AS114" s="97"/>
    </row>
    <row r="115" spans="1:45" ht="12.75" customHeight="1" hidden="1">
      <c r="A115" s="1"/>
      <c r="B115" s="769"/>
      <c r="C115" s="98"/>
      <c r="D115" s="170">
        <v>3</v>
      </c>
      <c r="E115" s="745"/>
      <c r="F115" s="745"/>
      <c r="G115" s="751"/>
      <c r="H115" s="752"/>
      <c r="I115" s="753"/>
      <c r="J115" s="747" t="s">
        <v>365</v>
      </c>
      <c r="K115" s="748"/>
      <c r="L115" s="748"/>
      <c r="M115" s="748"/>
      <c r="N115" s="748"/>
      <c r="O115" s="749"/>
      <c r="P115" s="746">
        <f ca="1" t="shared" si="5"/>
        <v>1300</v>
      </c>
      <c r="Q115" s="746"/>
      <c r="R115" s="761">
        <f t="shared" si="6"/>
        <v>0</v>
      </c>
      <c r="S115" s="762"/>
      <c r="T115" s="763"/>
      <c r="U115" s="773" t="s">
        <v>292</v>
      </c>
      <c r="V115" s="774"/>
      <c r="W115" s="775"/>
      <c r="X115" s="772">
        <f ca="1" t="shared" si="7"/>
        <v>0</v>
      </c>
      <c r="Y115" s="772"/>
      <c r="Z115" s="772">
        <f t="shared" si="8"/>
        <v>0</v>
      </c>
      <c r="AA115" s="772"/>
      <c r="AB115" s="772"/>
      <c r="AC115" s="747" t="s">
        <v>813</v>
      </c>
      <c r="AD115" s="748"/>
      <c r="AE115" s="748"/>
      <c r="AF115" s="748"/>
      <c r="AG115" s="748"/>
      <c r="AH115" s="749"/>
      <c r="AI115" s="746">
        <f ca="1" t="shared" si="9"/>
        <v>1</v>
      </c>
      <c r="AJ115" s="746"/>
      <c r="AK115" s="776">
        <f t="shared" si="10"/>
        <v>0</v>
      </c>
      <c r="AL115" s="776"/>
      <c r="AM115" s="776"/>
      <c r="AN115" s="777" t="s">
        <v>292</v>
      </c>
      <c r="AO115" s="777"/>
      <c r="AP115" s="772">
        <f ca="1" t="shared" si="11"/>
        <v>0</v>
      </c>
      <c r="AQ115" s="772"/>
      <c r="AR115" s="214"/>
      <c r="AS115" s="97"/>
    </row>
    <row r="116" spans="1:45" ht="12.75" customHeight="1" hidden="1">
      <c r="A116" s="1"/>
      <c r="B116" s="769"/>
      <c r="C116" s="98"/>
      <c r="D116" s="170">
        <v>4</v>
      </c>
      <c r="E116" s="745"/>
      <c r="F116" s="745"/>
      <c r="G116" s="751"/>
      <c r="H116" s="752"/>
      <c r="I116" s="753"/>
      <c r="J116" s="747" t="s">
        <v>365</v>
      </c>
      <c r="K116" s="748"/>
      <c r="L116" s="748"/>
      <c r="M116" s="748"/>
      <c r="N116" s="748"/>
      <c r="O116" s="749"/>
      <c r="P116" s="746">
        <f ca="1" t="shared" si="5"/>
        <v>1300</v>
      </c>
      <c r="Q116" s="746"/>
      <c r="R116" s="761">
        <f t="shared" si="6"/>
        <v>0</v>
      </c>
      <c r="S116" s="762"/>
      <c r="T116" s="763"/>
      <c r="U116" s="773" t="s">
        <v>292</v>
      </c>
      <c r="V116" s="774"/>
      <c r="W116" s="775"/>
      <c r="X116" s="772">
        <f ca="1" t="shared" si="7"/>
        <v>0</v>
      </c>
      <c r="Y116" s="772"/>
      <c r="Z116" s="772">
        <f t="shared" si="8"/>
        <v>0</v>
      </c>
      <c r="AA116" s="772"/>
      <c r="AB116" s="772"/>
      <c r="AC116" s="747" t="s">
        <v>813</v>
      </c>
      <c r="AD116" s="748"/>
      <c r="AE116" s="748"/>
      <c r="AF116" s="748"/>
      <c r="AG116" s="748"/>
      <c r="AH116" s="749"/>
      <c r="AI116" s="746">
        <f ca="1" t="shared" si="9"/>
        <v>1</v>
      </c>
      <c r="AJ116" s="746"/>
      <c r="AK116" s="776">
        <f t="shared" si="10"/>
        <v>0</v>
      </c>
      <c r="AL116" s="776"/>
      <c r="AM116" s="776"/>
      <c r="AN116" s="777" t="s">
        <v>292</v>
      </c>
      <c r="AO116" s="777"/>
      <c r="AP116" s="772">
        <f ca="1" t="shared" si="11"/>
        <v>0</v>
      </c>
      <c r="AQ116" s="772"/>
      <c r="AR116" s="214"/>
      <c r="AS116" s="97"/>
    </row>
    <row r="117" spans="1:45" ht="12.75" customHeight="1" hidden="1">
      <c r="A117" s="1"/>
      <c r="B117" s="769"/>
      <c r="C117" s="98"/>
      <c r="D117" s="170">
        <v>5</v>
      </c>
      <c r="E117" s="745"/>
      <c r="F117" s="745"/>
      <c r="G117" s="751"/>
      <c r="H117" s="752"/>
      <c r="I117" s="753"/>
      <c r="J117" s="747" t="s">
        <v>365</v>
      </c>
      <c r="K117" s="748"/>
      <c r="L117" s="748"/>
      <c r="M117" s="748"/>
      <c r="N117" s="748"/>
      <c r="O117" s="749"/>
      <c r="P117" s="746">
        <f ca="1" t="shared" si="5"/>
        <v>1300</v>
      </c>
      <c r="Q117" s="746"/>
      <c r="R117" s="761">
        <f t="shared" si="6"/>
        <v>0</v>
      </c>
      <c r="S117" s="762"/>
      <c r="T117" s="763"/>
      <c r="U117" s="773" t="s">
        <v>292</v>
      </c>
      <c r="V117" s="774"/>
      <c r="W117" s="775"/>
      <c r="X117" s="772">
        <f ca="1" t="shared" si="7"/>
        <v>0</v>
      </c>
      <c r="Y117" s="772"/>
      <c r="Z117" s="772">
        <f t="shared" si="8"/>
        <v>0</v>
      </c>
      <c r="AA117" s="772"/>
      <c r="AB117" s="772"/>
      <c r="AC117" s="747" t="s">
        <v>813</v>
      </c>
      <c r="AD117" s="748"/>
      <c r="AE117" s="748"/>
      <c r="AF117" s="748"/>
      <c r="AG117" s="748"/>
      <c r="AH117" s="749"/>
      <c r="AI117" s="746">
        <f ca="1" t="shared" si="9"/>
        <v>1</v>
      </c>
      <c r="AJ117" s="746"/>
      <c r="AK117" s="776">
        <f t="shared" si="10"/>
        <v>0</v>
      </c>
      <c r="AL117" s="776"/>
      <c r="AM117" s="776"/>
      <c r="AN117" s="777" t="s">
        <v>292</v>
      </c>
      <c r="AO117" s="777"/>
      <c r="AP117" s="772">
        <f ca="1" t="shared" si="11"/>
        <v>0</v>
      </c>
      <c r="AQ117" s="772"/>
      <c r="AR117" s="214"/>
      <c r="AS117" s="97"/>
    </row>
    <row r="118" spans="1:45" ht="12.75" customHeight="1" hidden="1">
      <c r="A118" s="1"/>
      <c r="B118" s="769"/>
      <c r="C118" s="98"/>
      <c r="D118" s="170">
        <v>6</v>
      </c>
      <c r="E118" s="745"/>
      <c r="F118" s="745"/>
      <c r="G118" s="751"/>
      <c r="H118" s="752"/>
      <c r="I118" s="753"/>
      <c r="J118" s="747" t="s">
        <v>365</v>
      </c>
      <c r="K118" s="748"/>
      <c r="L118" s="748"/>
      <c r="M118" s="748"/>
      <c r="N118" s="748"/>
      <c r="O118" s="749"/>
      <c r="P118" s="746">
        <f ca="1" t="shared" si="5"/>
        <v>1300</v>
      </c>
      <c r="Q118" s="746"/>
      <c r="R118" s="761">
        <f t="shared" si="6"/>
        <v>0</v>
      </c>
      <c r="S118" s="762"/>
      <c r="T118" s="763"/>
      <c r="U118" s="773" t="s">
        <v>292</v>
      </c>
      <c r="V118" s="774"/>
      <c r="W118" s="775"/>
      <c r="X118" s="772">
        <f ca="1" t="shared" si="7"/>
        <v>0</v>
      </c>
      <c r="Y118" s="772"/>
      <c r="Z118" s="772">
        <f t="shared" si="8"/>
        <v>0</v>
      </c>
      <c r="AA118" s="772"/>
      <c r="AB118" s="772"/>
      <c r="AC118" s="747" t="s">
        <v>813</v>
      </c>
      <c r="AD118" s="748"/>
      <c r="AE118" s="748"/>
      <c r="AF118" s="748"/>
      <c r="AG118" s="748"/>
      <c r="AH118" s="749"/>
      <c r="AI118" s="746">
        <f ca="1" t="shared" si="9"/>
        <v>1</v>
      </c>
      <c r="AJ118" s="746"/>
      <c r="AK118" s="776">
        <f t="shared" si="10"/>
        <v>0</v>
      </c>
      <c r="AL118" s="776"/>
      <c r="AM118" s="776"/>
      <c r="AN118" s="777" t="s">
        <v>292</v>
      </c>
      <c r="AO118" s="777"/>
      <c r="AP118" s="772">
        <f ca="1" t="shared" si="11"/>
        <v>0</v>
      </c>
      <c r="AQ118" s="772"/>
      <c r="AR118" s="214"/>
      <c r="AS118" s="97"/>
    </row>
    <row r="119" spans="1:45" ht="12.75" customHeight="1" hidden="1">
      <c r="A119" s="1"/>
      <c r="B119" s="769"/>
      <c r="C119" s="98"/>
      <c r="D119" s="747" t="s">
        <v>125</v>
      </c>
      <c r="E119" s="748"/>
      <c r="F119" s="748"/>
      <c r="G119" s="748"/>
      <c r="H119" s="748"/>
      <c r="I119" s="748"/>
      <c r="J119" s="748"/>
      <c r="K119" s="748"/>
      <c r="L119" s="748"/>
      <c r="M119" s="748"/>
      <c r="N119" s="748"/>
      <c r="O119" s="748"/>
      <c r="P119" s="748"/>
      <c r="Q119" s="749"/>
      <c r="R119" s="772">
        <f>SUM(R113:T116)</f>
        <v>0</v>
      </c>
      <c r="S119" s="772"/>
      <c r="T119" s="772"/>
      <c r="U119" s="761"/>
      <c r="V119" s="762"/>
      <c r="W119" s="235"/>
      <c r="X119" s="772">
        <f>SUM(X113:Y116)</f>
        <v>0</v>
      </c>
      <c r="Y119" s="772"/>
      <c r="Z119" s="831"/>
      <c r="AA119" s="831"/>
      <c r="AB119" s="831"/>
      <c r="AC119" s="831"/>
      <c r="AD119" s="831"/>
      <c r="AE119" s="831"/>
      <c r="AF119" s="831"/>
      <c r="AG119" s="831"/>
      <c r="AH119" s="831"/>
      <c r="AI119" s="831"/>
      <c r="AJ119" s="831"/>
      <c r="AK119" s="772">
        <f>SUM(AK113:AM116)</f>
        <v>0</v>
      </c>
      <c r="AL119" s="772"/>
      <c r="AM119" s="772"/>
      <c r="AN119" s="829"/>
      <c r="AO119" s="830"/>
      <c r="AP119" s="772">
        <f>SUM(AP113:AQ116)</f>
        <v>0</v>
      </c>
      <c r="AQ119" s="772"/>
      <c r="AR119" s="214"/>
      <c r="AS119" s="97"/>
    </row>
    <row r="120" spans="1:45" ht="6" customHeight="1" hidden="1">
      <c r="A120" s="1"/>
      <c r="B120" s="769"/>
      <c r="C120" s="98"/>
      <c r="D120" s="82"/>
      <c r="E120" s="81"/>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214"/>
      <c r="AS120" s="97"/>
    </row>
    <row r="121" spans="1:45" ht="12.75" customHeight="1" hidden="1">
      <c r="A121" s="1"/>
      <c r="B121" s="769"/>
      <c r="C121" s="98"/>
      <c r="D121" s="233" t="s">
        <v>1043</v>
      </c>
      <c r="E121" s="234"/>
      <c r="F121" s="234"/>
      <c r="G121" s="234"/>
      <c r="H121" s="234"/>
      <c r="I121" s="234"/>
      <c r="J121" s="234"/>
      <c r="K121" s="234"/>
      <c r="L121" s="234"/>
      <c r="M121" s="472"/>
      <c r="N121" s="472"/>
      <c r="O121" s="473"/>
      <c r="P121" s="473"/>
      <c r="Q121" s="473"/>
      <c r="R121" s="473"/>
      <c r="S121" s="473"/>
      <c r="T121" s="473"/>
      <c r="U121" s="474"/>
      <c r="V121" s="914" t="s">
        <v>1057</v>
      </c>
      <c r="W121" s="915"/>
      <c r="X121" s="915"/>
      <c r="Y121" s="915"/>
      <c r="Z121" s="916"/>
      <c r="AA121" s="972"/>
      <c r="AB121" s="974"/>
      <c r="AC121" s="974"/>
      <c r="AD121" s="974"/>
      <c r="AE121" s="973"/>
      <c r="AF121" s="914" t="s">
        <v>1041</v>
      </c>
      <c r="AG121" s="915"/>
      <c r="AH121" s="915"/>
      <c r="AI121" s="915"/>
      <c r="AJ121" s="915"/>
      <c r="AK121" s="915"/>
      <c r="AL121" s="915"/>
      <c r="AM121" s="916"/>
      <c r="AN121" s="975"/>
      <c r="AO121" s="976"/>
      <c r="AP121" s="976"/>
      <c r="AQ121" s="977"/>
      <c r="AR121" s="214"/>
      <c r="AS121" s="97"/>
    </row>
    <row r="122" spans="1:45" ht="12.75" customHeight="1" hidden="1">
      <c r="A122" s="1"/>
      <c r="B122" s="769"/>
      <c r="C122" s="98"/>
      <c r="D122" s="914"/>
      <c r="E122" s="915"/>
      <c r="F122" s="915"/>
      <c r="G122" s="916"/>
      <c r="H122" s="960" t="s">
        <v>1048</v>
      </c>
      <c r="I122" s="961"/>
      <c r="J122" s="961"/>
      <c r="K122" s="961"/>
      <c r="L122" s="950"/>
      <c r="M122" s="949"/>
      <c r="N122" s="950"/>
      <c r="O122" s="960" t="s">
        <v>1049</v>
      </c>
      <c r="P122" s="961"/>
      <c r="Q122" s="961"/>
      <c r="R122" s="961"/>
      <c r="S122" s="961"/>
      <c r="T122" s="961"/>
      <c r="U122" s="961"/>
      <c r="V122" s="961"/>
      <c r="W122" s="950"/>
      <c r="X122" s="960" t="s">
        <v>1047</v>
      </c>
      <c r="Y122" s="961"/>
      <c r="Z122" s="950"/>
      <c r="AA122" s="949" t="s">
        <v>1039</v>
      </c>
      <c r="AB122" s="950"/>
      <c r="AC122" s="914" t="s">
        <v>1042</v>
      </c>
      <c r="AD122" s="915"/>
      <c r="AE122" s="915"/>
      <c r="AF122" s="915"/>
      <c r="AG122" s="915"/>
      <c r="AH122" s="915"/>
      <c r="AI122" s="915"/>
      <c r="AJ122" s="915"/>
      <c r="AK122" s="915"/>
      <c r="AL122" s="915"/>
      <c r="AM122" s="915"/>
      <c r="AN122" s="915"/>
      <c r="AO122" s="915"/>
      <c r="AP122" s="915"/>
      <c r="AQ122" s="916"/>
      <c r="AR122" s="214"/>
      <c r="AS122" s="97"/>
    </row>
    <row r="123" spans="1:45" ht="23.25" customHeight="1" hidden="1">
      <c r="A123" s="1"/>
      <c r="B123" s="769"/>
      <c r="C123" s="98"/>
      <c r="D123" s="466" t="s">
        <v>72</v>
      </c>
      <c r="E123" s="951" t="s">
        <v>1038</v>
      </c>
      <c r="F123" s="951"/>
      <c r="G123" s="951"/>
      <c r="H123" s="962"/>
      <c r="I123" s="963"/>
      <c r="J123" s="963"/>
      <c r="K123" s="963"/>
      <c r="L123" s="964"/>
      <c r="M123" s="965" t="s">
        <v>905</v>
      </c>
      <c r="N123" s="966"/>
      <c r="O123" s="962"/>
      <c r="P123" s="963"/>
      <c r="Q123" s="963"/>
      <c r="R123" s="963"/>
      <c r="S123" s="963"/>
      <c r="T123" s="963"/>
      <c r="U123" s="963"/>
      <c r="V123" s="963"/>
      <c r="W123" s="964"/>
      <c r="X123" s="962"/>
      <c r="Y123" s="963"/>
      <c r="Z123" s="964"/>
      <c r="AA123" s="962"/>
      <c r="AB123" s="964"/>
      <c r="AC123" s="971" t="s">
        <v>1050</v>
      </c>
      <c r="AD123" s="915"/>
      <c r="AE123" s="916"/>
      <c r="AF123" s="971" t="s">
        <v>1051</v>
      </c>
      <c r="AG123" s="915"/>
      <c r="AH123" s="915"/>
      <c r="AI123" s="916"/>
      <c r="AJ123" s="914" t="s">
        <v>73</v>
      </c>
      <c r="AK123" s="915"/>
      <c r="AL123" s="915"/>
      <c r="AM123" s="915"/>
      <c r="AN123" s="915"/>
      <c r="AO123" s="916"/>
      <c r="AP123" s="914" t="s">
        <v>1044</v>
      </c>
      <c r="AQ123" s="916"/>
      <c r="AR123" s="214"/>
      <c r="AS123" s="97"/>
    </row>
    <row r="124" spans="1:46" ht="12.75" customHeight="1" hidden="1">
      <c r="A124" s="1"/>
      <c r="B124" s="769"/>
      <c r="C124" s="98"/>
      <c r="D124" s="170">
        <v>1</v>
      </c>
      <c r="E124" s="947"/>
      <c r="F124" s="947"/>
      <c r="G124" s="947"/>
      <c r="H124" s="952"/>
      <c r="I124" s="953"/>
      <c r="J124" s="953"/>
      <c r="K124" s="953"/>
      <c r="L124" s="954"/>
      <c r="M124" s="958"/>
      <c r="N124" s="959"/>
      <c r="O124" s="952"/>
      <c r="P124" s="953"/>
      <c r="Q124" s="953"/>
      <c r="R124" s="953"/>
      <c r="S124" s="953"/>
      <c r="T124" s="953"/>
      <c r="U124" s="953"/>
      <c r="V124" s="953"/>
      <c r="W124" s="954"/>
      <c r="X124" s="952"/>
      <c r="Y124" s="953"/>
      <c r="Z124" s="954"/>
      <c r="AA124" s="967"/>
      <c r="AB124" s="967"/>
      <c r="AC124" s="968"/>
      <c r="AD124" s="969"/>
      <c r="AE124" s="970"/>
      <c r="AF124" s="968"/>
      <c r="AG124" s="969"/>
      <c r="AH124" s="969"/>
      <c r="AI124" s="970"/>
      <c r="AJ124" s="952"/>
      <c r="AK124" s="953"/>
      <c r="AL124" s="953"/>
      <c r="AM124" s="953"/>
      <c r="AN124" s="953"/>
      <c r="AO124" s="954"/>
      <c r="AP124" s="972"/>
      <c r="AQ124" s="973"/>
      <c r="AR124" s="214"/>
      <c r="AS124" s="477"/>
      <c r="AT124" s="476"/>
    </row>
    <row r="125" spans="1:46" ht="12.75" customHeight="1" hidden="1">
      <c r="A125" s="1"/>
      <c r="B125" s="769"/>
      <c r="C125" s="98"/>
      <c r="D125" s="170">
        <v>2</v>
      </c>
      <c r="E125" s="947"/>
      <c r="F125" s="947"/>
      <c r="G125" s="947"/>
      <c r="H125" s="952"/>
      <c r="I125" s="953"/>
      <c r="J125" s="953"/>
      <c r="K125" s="953"/>
      <c r="L125" s="954"/>
      <c r="M125" s="958"/>
      <c r="N125" s="959"/>
      <c r="O125" s="952"/>
      <c r="P125" s="953"/>
      <c r="Q125" s="953"/>
      <c r="R125" s="953"/>
      <c r="S125" s="953"/>
      <c r="T125" s="953"/>
      <c r="U125" s="953"/>
      <c r="V125" s="953"/>
      <c r="W125" s="954"/>
      <c r="X125" s="952"/>
      <c r="Y125" s="953"/>
      <c r="Z125" s="954"/>
      <c r="AA125" s="967"/>
      <c r="AB125" s="967"/>
      <c r="AC125" s="968"/>
      <c r="AD125" s="969"/>
      <c r="AE125" s="970"/>
      <c r="AF125" s="968"/>
      <c r="AG125" s="969"/>
      <c r="AH125" s="969"/>
      <c r="AI125" s="970"/>
      <c r="AJ125" s="952"/>
      <c r="AK125" s="953"/>
      <c r="AL125" s="953"/>
      <c r="AM125" s="953"/>
      <c r="AN125" s="953"/>
      <c r="AO125" s="954"/>
      <c r="AP125" s="972"/>
      <c r="AQ125" s="973"/>
      <c r="AR125" s="214"/>
      <c r="AS125" s="477"/>
      <c r="AT125" s="476"/>
    </row>
    <row r="126" spans="1:46" ht="12.75" customHeight="1" hidden="1">
      <c r="A126" s="1"/>
      <c r="B126" s="769"/>
      <c r="C126" s="98"/>
      <c r="D126" s="170">
        <v>3</v>
      </c>
      <c r="E126" s="947"/>
      <c r="F126" s="947"/>
      <c r="G126" s="947"/>
      <c r="H126" s="952"/>
      <c r="I126" s="953"/>
      <c r="J126" s="953"/>
      <c r="K126" s="953"/>
      <c r="L126" s="954"/>
      <c r="M126" s="958"/>
      <c r="N126" s="959"/>
      <c r="O126" s="952"/>
      <c r="P126" s="953"/>
      <c r="Q126" s="953"/>
      <c r="R126" s="953"/>
      <c r="S126" s="953"/>
      <c r="T126" s="953"/>
      <c r="U126" s="953"/>
      <c r="V126" s="953"/>
      <c r="W126" s="954"/>
      <c r="X126" s="952"/>
      <c r="Y126" s="953"/>
      <c r="Z126" s="954"/>
      <c r="AA126" s="967"/>
      <c r="AB126" s="967"/>
      <c r="AC126" s="968"/>
      <c r="AD126" s="969"/>
      <c r="AE126" s="970"/>
      <c r="AF126" s="968"/>
      <c r="AG126" s="969"/>
      <c r="AH126" s="969"/>
      <c r="AI126" s="970"/>
      <c r="AJ126" s="952"/>
      <c r="AK126" s="953"/>
      <c r="AL126" s="953"/>
      <c r="AM126" s="953"/>
      <c r="AN126" s="953"/>
      <c r="AO126" s="954"/>
      <c r="AP126" s="972"/>
      <c r="AQ126" s="973"/>
      <c r="AR126" s="214"/>
      <c r="AS126" s="477"/>
      <c r="AT126" s="476"/>
    </row>
    <row r="127" spans="1:46" ht="12.75" customHeight="1" hidden="1">
      <c r="A127" s="1"/>
      <c r="B127" s="769"/>
      <c r="C127" s="98"/>
      <c r="D127" s="170">
        <v>4</v>
      </c>
      <c r="E127" s="947"/>
      <c r="F127" s="947"/>
      <c r="G127" s="947"/>
      <c r="H127" s="952"/>
      <c r="I127" s="953"/>
      <c r="J127" s="953"/>
      <c r="K127" s="953"/>
      <c r="L127" s="954"/>
      <c r="M127" s="958"/>
      <c r="N127" s="959"/>
      <c r="O127" s="952"/>
      <c r="P127" s="953"/>
      <c r="Q127" s="953"/>
      <c r="R127" s="953"/>
      <c r="S127" s="953"/>
      <c r="T127" s="953"/>
      <c r="U127" s="953"/>
      <c r="V127" s="953"/>
      <c r="W127" s="954"/>
      <c r="X127" s="952"/>
      <c r="Y127" s="953"/>
      <c r="Z127" s="954"/>
      <c r="AA127" s="967"/>
      <c r="AB127" s="967"/>
      <c r="AC127" s="968"/>
      <c r="AD127" s="969"/>
      <c r="AE127" s="970"/>
      <c r="AF127" s="968"/>
      <c r="AG127" s="969"/>
      <c r="AH127" s="969"/>
      <c r="AI127" s="970"/>
      <c r="AJ127" s="952"/>
      <c r="AK127" s="953"/>
      <c r="AL127" s="953"/>
      <c r="AM127" s="953"/>
      <c r="AN127" s="953"/>
      <c r="AO127" s="954"/>
      <c r="AP127" s="972"/>
      <c r="AQ127" s="973"/>
      <c r="AR127" s="214"/>
      <c r="AS127" s="477"/>
      <c r="AT127" s="476"/>
    </row>
    <row r="128" spans="1:46" ht="12.75" customHeight="1" hidden="1">
      <c r="A128" s="1"/>
      <c r="B128" s="769"/>
      <c r="C128" s="98"/>
      <c r="D128" s="170">
        <v>5</v>
      </c>
      <c r="E128" s="947"/>
      <c r="F128" s="947"/>
      <c r="G128" s="947"/>
      <c r="H128" s="952"/>
      <c r="I128" s="953"/>
      <c r="J128" s="953"/>
      <c r="K128" s="953"/>
      <c r="L128" s="954"/>
      <c r="M128" s="958"/>
      <c r="N128" s="959"/>
      <c r="O128" s="952"/>
      <c r="P128" s="953"/>
      <c r="Q128" s="953"/>
      <c r="R128" s="953"/>
      <c r="S128" s="953"/>
      <c r="T128" s="953"/>
      <c r="U128" s="953"/>
      <c r="V128" s="953"/>
      <c r="W128" s="954"/>
      <c r="X128" s="952"/>
      <c r="Y128" s="953"/>
      <c r="Z128" s="954"/>
      <c r="AA128" s="967"/>
      <c r="AB128" s="967"/>
      <c r="AC128" s="968"/>
      <c r="AD128" s="969"/>
      <c r="AE128" s="970"/>
      <c r="AF128" s="968"/>
      <c r="AG128" s="969"/>
      <c r="AH128" s="969"/>
      <c r="AI128" s="970"/>
      <c r="AJ128" s="952"/>
      <c r="AK128" s="953"/>
      <c r="AL128" s="953"/>
      <c r="AM128" s="953"/>
      <c r="AN128" s="953"/>
      <c r="AO128" s="954"/>
      <c r="AP128" s="972"/>
      <c r="AQ128" s="973"/>
      <c r="AR128" s="214"/>
      <c r="AS128" s="477"/>
      <c r="AT128" s="476"/>
    </row>
    <row r="129" spans="1:45" ht="12.75" customHeight="1" hidden="1">
      <c r="A129" s="1"/>
      <c r="B129" s="769"/>
      <c r="C129" s="98"/>
      <c r="D129" s="475"/>
      <c r="E129" s="978" t="s">
        <v>1045</v>
      </c>
      <c r="F129" s="979"/>
      <c r="G129" s="979"/>
      <c r="H129" s="979"/>
      <c r="I129" s="979"/>
      <c r="J129" s="979"/>
      <c r="K129" s="979"/>
      <c r="L129" s="979"/>
      <c r="M129" s="979"/>
      <c r="N129" s="979"/>
      <c r="O129" s="979"/>
      <c r="P129" s="979"/>
      <c r="Q129" s="979"/>
      <c r="R129" s="979"/>
      <c r="S129" s="979"/>
      <c r="T129" s="979"/>
      <c r="U129" s="979"/>
      <c r="V129" s="979"/>
      <c r="W129" s="979"/>
      <c r="X129" s="979"/>
      <c r="Y129" s="979"/>
      <c r="Z129" s="979"/>
      <c r="AA129" s="979"/>
      <c r="AB129" s="979"/>
      <c r="AC129" s="979"/>
      <c r="AD129" s="979"/>
      <c r="AE129" s="979"/>
      <c r="AF129" s="979"/>
      <c r="AG129" s="979"/>
      <c r="AH129" s="979"/>
      <c r="AI129" s="979"/>
      <c r="AJ129" s="979"/>
      <c r="AK129" s="979"/>
      <c r="AL129" s="979"/>
      <c r="AM129" s="979"/>
      <c r="AN129" s="979"/>
      <c r="AO129" s="979"/>
      <c r="AP129" s="979"/>
      <c r="AQ129" s="980"/>
      <c r="AR129" s="214"/>
      <c r="AS129" s="97"/>
    </row>
    <row r="130" spans="1:45" ht="6" customHeight="1" hidden="1">
      <c r="A130" s="1"/>
      <c r="B130" s="769"/>
      <c r="C130" s="98"/>
      <c r="D130" s="82"/>
      <c r="E130" s="81"/>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214"/>
      <c r="AS130" s="97"/>
    </row>
    <row r="131" spans="1:46" ht="12.75" customHeight="1">
      <c r="A131" s="1"/>
      <c r="B131" s="769"/>
      <c r="C131" s="80"/>
      <c r="D131" s="81" t="s">
        <v>136</v>
      </c>
      <c r="E131" s="81"/>
      <c r="F131" s="82"/>
      <c r="G131" s="82"/>
      <c r="H131" s="794" t="e">
        <f>IF(F106="Choisir…","",CHOOSE(MATCH(F106,Mesures,0)-1,"Système de réfrigération au CO2","Acériculture-Évaporateur électrique","Acériculture-Évaporateur à biomasse","Acériculture-Évaporateur aux granules","Prescriptif - Conversion chauffage-CII- électrique","Prescriptif - Conversion chauffage-CII- biomasse","Prescriptif - Conversion chauffage-CII- granules","Serre-Conversion chauffage-CII- électrique"))</f>
        <v>#N/A</v>
      </c>
      <c r="I131" s="795"/>
      <c r="J131" s="795"/>
      <c r="K131" s="795"/>
      <c r="L131" s="795"/>
      <c r="M131" s="795"/>
      <c r="N131" s="795"/>
      <c r="O131" s="795"/>
      <c r="P131" s="795"/>
      <c r="Q131" s="795"/>
      <c r="R131" s="795"/>
      <c r="S131" s="795"/>
      <c r="T131" s="795"/>
      <c r="U131" s="795"/>
      <c r="V131" s="795"/>
      <c r="W131" s="795"/>
      <c r="X131" s="795"/>
      <c r="Y131" s="795"/>
      <c r="Z131" s="795"/>
      <c r="AA131" s="795"/>
      <c r="AB131" s="795"/>
      <c r="AC131" s="795"/>
      <c r="AD131" s="795"/>
      <c r="AE131" s="795"/>
      <c r="AF131" s="795"/>
      <c r="AG131" s="795"/>
      <c r="AH131" s="795"/>
      <c r="AI131" s="795"/>
      <c r="AJ131" s="795"/>
      <c r="AK131" s="795"/>
      <c r="AL131" s="795"/>
      <c r="AM131" s="795"/>
      <c r="AN131" s="795"/>
      <c r="AO131" s="795"/>
      <c r="AP131" s="795"/>
      <c r="AQ131" s="796"/>
      <c r="AR131" s="8"/>
      <c r="AT131" t="e">
        <f>INDEX(Data!F259:F266,MATCH($F$106,Data!B259:B266,0))</f>
        <v>#N/A</v>
      </c>
    </row>
    <row r="132" spans="1:45" ht="3.75" customHeight="1">
      <c r="A132" s="1"/>
      <c r="B132" s="769"/>
      <c r="C132" s="80"/>
      <c r="D132" s="82"/>
      <c r="E132" s="81"/>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
      <c r="AS132" s="44"/>
    </row>
    <row r="133" spans="1:44" ht="12.75" customHeight="1">
      <c r="A133" s="1"/>
      <c r="B133" s="769"/>
      <c r="C133" s="80"/>
      <c r="D133" s="81" t="s">
        <v>161</v>
      </c>
      <c r="E133" s="81"/>
      <c r="F133" s="82"/>
      <c r="G133" s="82"/>
      <c r="H133" s="82"/>
      <c r="I133" s="82"/>
      <c r="J133" s="82"/>
      <c r="K133" s="82"/>
      <c r="L133" s="82"/>
      <c r="M133" s="82"/>
      <c r="N133" s="91" t="s">
        <v>124</v>
      </c>
      <c r="O133" s="797">
        <f>Demande!D57</f>
        <v>0</v>
      </c>
      <c r="P133" s="798"/>
      <c r="Q133" s="798"/>
      <c r="R133" s="799"/>
      <c r="S133" s="174"/>
      <c r="T133" s="174"/>
      <c r="U133" s="174"/>
      <c r="V133" s="82"/>
      <c r="W133" s="82"/>
      <c r="X133" s="82"/>
      <c r="Y133" s="82"/>
      <c r="Z133" s="82"/>
      <c r="AA133" s="92" t="s">
        <v>109</v>
      </c>
      <c r="AB133" s="797">
        <f>O133</f>
        <v>0</v>
      </c>
      <c r="AC133" s="798"/>
      <c r="AD133" s="798"/>
      <c r="AE133" s="799"/>
      <c r="AF133" s="174"/>
      <c r="AG133" s="174"/>
      <c r="AH133" s="174"/>
      <c r="AI133" s="174"/>
      <c r="AK133" s="82"/>
      <c r="AL133" s="82"/>
      <c r="AM133" s="91" t="s">
        <v>156</v>
      </c>
      <c r="AN133" s="797">
        <f>AB133</f>
        <v>0</v>
      </c>
      <c r="AO133" s="798"/>
      <c r="AP133" s="798"/>
      <c r="AQ133" s="799"/>
      <c r="AR133" s="8"/>
    </row>
    <row r="134" spans="1:44" ht="12.75" customHeight="1">
      <c r="A134" s="1"/>
      <c r="B134" s="769"/>
      <c r="C134" s="80"/>
      <c r="E134" s="83"/>
      <c r="F134" s="83"/>
      <c r="G134" s="83"/>
      <c r="H134" s="83"/>
      <c r="I134" s="83"/>
      <c r="J134" s="83"/>
      <c r="K134" s="83"/>
      <c r="O134" s="82" t="s">
        <v>108</v>
      </c>
      <c r="P134" s="82"/>
      <c r="Q134" s="82"/>
      <c r="R134" s="82"/>
      <c r="S134" s="174"/>
      <c r="T134" s="174"/>
      <c r="U134" s="174"/>
      <c r="V134" s="175"/>
      <c r="W134" s="174"/>
      <c r="X134" s="174"/>
      <c r="Y134" s="174"/>
      <c r="Z134" s="174"/>
      <c r="AA134" s="91" t="s">
        <v>907</v>
      </c>
      <c r="AB134" s="82" t="s">
        <v>108</v>
      </c>
      <c r="AC134" s="82"/>
      <c r="AD134" s="82"/>
      <c r="AE134" s="82"/>
      <c r="AF134" s="174"/>
      <c r="AG134" s="174"/>
      <c r="AH134" s="174"/>
      <c r="AI134" s="174"/>
      <c r="AJ134" s="175"/>
      <c r="AK134" s="174"/>
      <c r="AL134" s="174"/>
      <c r="AM134" s="174"/>
      <c r="AN134" s="800" t="s">
        <v>108</v>
      </c>
      <c r="AO134" s="800"/>
      <c r="AP134" s="800"/>
      <c r="AQ134" s="800"/>
      <c r="AR134" s="8"/>
    </row>
    <row r="135" spans="1:44" ht="7.5" customHeight="1">
      <c r="A135" s="1"/>
      <c r="B135" s="769"/>
      <c r="C135" s="80"/>
      <c r="D135" s="87"/>
      <c r="E135" s="87"/>
      <c r="F135" s="87"/>
      <c r="G135" s="87"/>
      <c r="H135" s="87"/>
      <c r="I135" s="87"/>
      <c r="J135" s="87"/>
      <c r="K135" s="87"/>
      <c r="L135" s="87"/>
      <c r="Q135" s="82"/>
      <c r="R135" s="174"/>
      <c r="S135" s="174"/>
      <c r="T135" s="174"/>
      <c r="U135" s="174"/>
      <c r="V135" s="82"/>
      <c r="W135" s="174"/>
      <c r="X135" s="174"/>
      <c r="Y135" s="174"/>
      <c r="Z135" s="174"/>
      <c r="AE135" s="82"/>
      <c r="AF135" s="82"/>
      <c r="AG135" s="82"/>
      <c r="AH135" s="82"/>
      <c r="AI135" s="82"/>
      <c r="AJ135" s="82"/>
      <c r="AK135" s="174"/>
      <c r="AL135" s="174"/>
      <c r="AM135" s="174"/>
      <c r="AP135" s="87"/>
      <c r="AQ135" s="87"/>
      <c r="AR135" s="8"/>
    </row>
    <row r="136" spans="1:44" ht="12.75" customHeight="1" hidden="1">
      <c r="A136" s="1"/>
      <c r="B136" s="769"/>
      <c r="C136" s="11"/>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86"/>
    </row>
    <row r="137" spans="1:44" ht="12.75" customHeight="1" hidden="1">
      <c r="A137" s="1"/>
      <c r="B137" s="769"/>
      <c r="C137" s="11"/>
      <c r="D137" s="176" t="s">
        <v>211</v>
      </c>
      <c r="E137" s="177"/>
      <c r="F137" s="177"/>
      <c r="G137" s="177"/>
      <c r="H137" s="177"/>
      <c r="I137" s="177"/>
      <c r="J137" s="177"/>
      <c r="K137" s="177"/>
      <c r="L137" s="177"/>
      <c r="M137" s="177"/>
      <c r="N137" s="177"/>
      <c r="O137" s="177"/>
      <c r="P137" s="177"/>
      <c r="Q137" s="177"/>
      <c r="R137" s="177"/>
      <c r="S137" s="177"/>
      <c r="T137" s="177"/>
      <c r="U137" s="177"/>
      <c r="V137" s="105"/>
      <c r="W137" s="178"/>
      <c r="X137" s="178"/>
      <c r="Y137" s="178"/>
      <c r="Z137" s="178"/>
      <c r="AA137" s="78"/>
      <c r="AB137" s="78"/>
      <c r="AC137" s="78"/>
      <c r="AD137" s="78"/>
      <c r="AE137" s="179"/>
      <c r="AF137" s="179"/>
      <c r="AG137" s="179"/>
      <c r="AH137" s="179"/>
      <c r="AI137" s="179"/>
      <c r="AJ137" s="180" t="s">
        <v>216</v>
      </c>
      <c r="AK137" s="178"/>
      <c r="AL137" s="178"/>
      <c r="AM137" s="181"/>
      <c r="AN137" s="808">
        <v>0</v>
      </c>
      <c r="AO137" s="809"/>
      <c r="AP137" s="809"/>
      <c r="AQ137" s="810"/>
      <c r="AR137" s="63"/>
    </row>
    <row r="138" spans="1:44" ht="12.75" customHeight="1" hidden="1">
      <c r="A138" s="1"/>
      <c r="B138" s="769"/>
      <c r="C138" s="11"/>
      <c r="D138" s="817" t="s">
        <v>169</v>
      </c>
      <c r="E138" s="818"/>
      <c r="F138" s="818"/>
      <c r="G138" s="818"/>
      <c r="H138" s="818"/>
      <c r="I138" s="818"/>
      <c r="J138" s="818"/>
      <c r="K138" s="818"/>
      <c r="L138" s="818"/>
      <c r="M138" s="818"/>
      <c r="N138" s="818"/>
      <c r="O138" s="818"/>
      <c r="P138" s="818"/>
      <c r="Q138" s="818"/>
      <c r="R138" s="818"/>
      <c r="S138" s="818"/>
      <c r="T138" s="818"/>
      <c r="U138" s="818"/>
      <c r="V138" s="818"/>
      <c r="W138" s="818"/>
      <c r="X138" s="818"/>
      <c r="Y138" s="818"/>
      <c r="Z138" s="818"/>
      <c r="AA138" s="818"/>
      <c r="AB138" s="818"/>
      <c r="AC138" s="818"/>
      <c r="AD138" s="818"/>
      <c r="AE138" s="818"/>
      <c r="AF138" s="818"/>
      <c r="AG138" s="818"/>
      <c r="AH138" s="818"/>
      <c r="AI138" s="818"/>
      <c r="AJ138" s="818"/>
      <c r="AK138" s="818"/>
      <c r="AL138" s="818"/>
      <c r="AM138" s="819"/>
      <c r="AN138" s="811" t="e">
        <f>'2. Plan d''implantation'!O50</f>
        <v>#N/A</v>
      </c>
      <c r="AO138" s="812"/>
      <c r="AP138" s="812"/>
      <c r="AQ138" s="813"/>
      <c r="AR138" s="64"/>
    </row>
    <row r="139" spans="1:44" ht="12.75" customHeight="1" hidden="1">
      <c r="A139" s="1"/>
      <c r="B139" s="769"/>
      <c r="C139" s="11"/>
      <c r="D139" s="814" t="s">
        <v>186</v>
      </c>
      <c r="E139" s="815"/>
      <c r="F139" s="815"/>
      <c r="G139" s="815"/>
      <c r="H139" s="815"/>
      <c r="I139" s="815"/>
      <c r="J139" s="815"/>
      <c r="K139" s="815"/>
      <c r="L139" s="815"/>
      <c r="M139" s="815"/>
      <c r="N139" s="815"/>
      <c r="O139" s="815"/>
      <c r="P139" s="815"/>
      <c r="Q139" s="815"/>
      <c r="R139" s="815"/>
      <c r="S139" s="815"/>
      <c r="T139" s="815"/>
      <c r="U139" s="815"/>
      <c r="V139" s="815"/>
      <c r="W139" s="815"/>
      <c r="X139" s="815"/>
      <c r="Y139" s="815"/>
      <c r="Z139" s="815"/>
      <c r="AA139" s="815"/>
      <c r="AB139" s="815"/>
      <c r="AC139" s="815"/>
      <c r="AD139" s="815"/>
      <c r="AE139" s="815"/>
      <c r="AF139" s="815"/>
      <c r="AG139" s="815"/>
      <c r="AH139" s="815"/>
      <c r="AI139" s="815"/>
      <c r="AJ139" s="815"/>
      <c r="AK139" s="815"/>
      <c r="AL139" s="815"/>
      <c r="AM139" s="816"/>
      <c r="AN139" s="791" t="e">
        <f>'2. Plan d''implantation'!P50</f>
        <v>#N/A</v>
      </c>
      <c r="AO139" s="792"/>
      <c r="AP139" s="792"/>
      <c r="AQ139" s="793"/>
      <c r="AR139" s="64"/>
    </row>
    <row r="140" spans="1:44" ht="12.75" customHeight="1" hidden="1">
      <c r="A140" s="1"/>
      <c r="B140" s="769"/>
      <c r="C140" s="6"/>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90"/>
      <c r="AN140" s="90"/>
      <c r="AO140" s="90"/>
      <c r="AP140" s="90"/>
      <c r="AQ140" s="90"/>
      <c r="AR140" s="64"/>
    </row>
    <row r="141" spans="1:44" ht="12.75" customHeight="1">
      <c r="A141" s="1"/>
      <c r="B141" s="769"/>
      <c r="C141" s="6"/>
      <c r="D141" s="806" t="s">
        <v>203</v>
      </c>
      <c r="E141" s="807"/>
      <c r="F141" s="807"/>
      <c r="G141" s="807"/>
      <c r="H141" s="807"/>
      <c r="I141" s="807"/>
      <c r="J141" s="807"/>
      <c r="K141" s="807"/>
      <c r="L141" s="807"/>
      <c r="M141" s="807"/>
      <c r="N141" s="807"/>
      <c r="O141" s="807"/>
      <c r="P141" s="807"/>
      <c r="Q141" s="807"/>
      <c r="R141" s="807"/>
      <c r="S141" s="807"/>
      <c r="T141" s="807"/>
      <c r="U141" s="807"/>
      <c r="V141" s="106"/>
      <c r="W141" s="106"/>
      <c r="X141" s="106"/>
      <c r="Y141" s="89"/>
      <c r="Z141" s="89"/>
      <c r="AA141" s="89"/>
      <c r="AB141" s="89"/>
      <c r="AC141" s="89"/>
      <c r="AD141" s="89"/>
      <c r="AE141" s="89"/>
      <c r="AF141" s="89"/>
      <c r="AG141" s="89"/>
      <c r="AH141" s="89"/>
      <c r="AI141" s="89"/>
      <c r="AJ141" s="89"/>
      <c r="AK141" s="89"/>
      <c r="AL141" s="89"/>
      <c r="AM141" s="90"/>
      <c r="AN141" s="90"/>
      <c r="AO141" s="90"/>
      <c r="AP141" s="90"/>
      <c r="AQ141" s="90"/>
      <c r="AR141" s="64"/>
    </row>
    <row r="142" spans="1:46" ht="12.75" customHeight="1">
      <c r="A142" s="1"/>
      <c r="B142" s="769"/>
      <c r="C142" s="6"/>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90"/>
      <c r="AN142" s="90"/>
      <c r="AO142" s="90"/>
      <c r="AP142" s="90"/>
      <c r="AQ142" s="90"/>
      <c r="AR142" s="64"/>
      <c r="AT142" t="e">
        <f>INDEX(Data!F259:F266,MATCH($F$106,Data!B259:B266,0))</f>
        <v>#N/A</v>
      </c>
    </row>
    <row r="143" spans="1:44" ht="12.75" customHeight="1">
      <c r="A143" s="1"/>
      <c r="B143" s="769"/>
      <c r="C143" s="6"/>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c r="AN143" s="90"/>
      <c r="AO143" s="90"/>
      <c r="AP143" s="90"/>
      <c r="AQ143" s="90"/>
      <c r="AR143" s="64"/>
    </row>
    <row r="144" spans="1:44" ht="12.75" customHeight="1">
      <c r="A144" s="1"/>
      <c r="B144" s="769"/>
      <c r="C144" s="6"/>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90"/>
      <c r="AN144" s="90"/>
      <c r="AO144" s="90"/>
      <c r="AP144" s="90"/>
      <c r="AQ144" s="90"/>
      <c r="AR144" s="64"/>
    </row>
    <row r="145" spans="1:44" ht="12.75" customHeight="1">
      <c r="A145" s="1"/>
      <c r="B145" s="769"/>
      <c r="C145" s="6"/>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90"/>
      <c r="AN145" s="90"/>
      <c r="AO145" s="90"/>
      <c r="AP145" s="90"/>
      <c r="AQ145" s="90"/>
      <c r="AR145" s="64"/>
    </row>
    <row r="146" spans="1:44" ht="12.75" customHeight="1">
      <c r="A146" s="1"/>
      <c r="B146" s="769"/>
      <c r="C146" s="6"/>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90"/>
      <c r="AN146" s="90"/>
      <c r="AO146" s="90"/>
      <c r="AP146" s="90"/>
      <c r="AQ146" s="90"/>
      <c r="AR146" s="64"/>
    </row>
    <row r="147" spans="1:44" ht="12.75" customHeight="1" thickBot="1">
      <c r="A147" s="1"/>
      <c r="B147" s="770"/>
      <c r="C147" s="6"/>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c r="AN147" s="90"/>
      <c r="AO147" s="90"/>
      <c r="AP147" s="90"/>
      <c r="AQ147" s="90"/>
      <c r="AR147" s="64"/>
    </row>
    <row r="148" spans="1:44" ht="12.75" customHeight="1">
      <c r="A148" s="1"/>
      <c r="B148" s="887" t="s">
        <v>1006</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4"/>
    </row>
    <row r="149" spans="1:44" ht="12.75" customHeight="1">
      <c r="A149" s="1"/>
      <c r="B149" s="888"/>
      <c r="C149" s="30"/>
      <c r="D149" s="17" t="s">
        <v>215</v>
      </c>
      <c r="E149" s="6"/>
      <c r="F149" s="6"/>
      <c r="G149" s="6"/>
      <c r="H149" s="6"/>
      <c r="I149" s="6"/>
      <c r="J149" s="883"/>
      <c r="K149" s="884"/>
      <c r="L149" s="884"/>
      <c r="M149" s="884"/>
      <c r="N149" s="884"/>
      <c r="O149" s="884"/>
      <c r="P149" s="884"/>
      <c r="Q149" s="884"/>
      <c r="R149" s="884"/>
      <c r="S149" s="884"/>
      <c r="T149" s="884"/>
      <c r="U149" s="884"/>
      <c r="V149" s="884"/>
      <c r="W149" s="884"/>
      <c r="X149" s="884"/>
      <c r="Y149" s="884"/>
      <c r="Z149" s="884"/>
      <c r="AA149" s="884"/>
      <c r="AB149" s="884"/>
      <c r="AC149" s="884"/>
      <c r="AD149" s="885"/>
      <c r="AE149" s="6"/>
      <c r="AF149" s="6"/>
      <c r="AG149" s="6"/>
      <c r="AH149" s="6"/>
      <c r="AI149" s="93" t="s">
        <v>117</v>
      </c>
      <c r="AJ149" s="869">
        <f>Demande!I67</f>
        <v>0</v>
      </c>
      <c r="AK149" s="870"/>
      <c r="AL149" s="870"/>
      <c r="AM149" s="870"/>
      <c r="AN149" s="870"/>
      <c r="AO149" s="870"/>
      <c r="AP149" s="870"/>
      <c r="AQ149" s="871"/>
      <c r="AR149" s="55"/>
    </row>
    <row r="150" spans="1:44" s="29" customFormat="1" ht="12.75">
      <c r="A150" s="28"/>
      <c r="B150" s="888"/>
      <c r="C150" s="30"/>
      <c r="D150" s="94" t="s">
        <v>214</v>
      </c>
      <c r="E150" s="6"/>
      <c r="F150" s="6"/>
      <c r="G150" s="6"/>
      <c r="H150" s="6"/>
      <c r="I150" s="6"/>
      <c r="J150" s="6"/>
      <c r="K150" s="6"/>
      <c r="L150" s="9"/>
      <c r="M150" s="9"/>
      <c r="N150" s="9"/>
      <c r="O150" s="9"/>
      <c r="P150" s="9"/>
      <c r="Q150" s="9"/>
      <c r="R150" s="9"/>
      <c r="S150" s="9"/>
      <c r="T150" s="9"/>
      <c r="U150" s="9"/>
      <c r="V150" s="9"/>
      <c r="W150" s="9"/>
      <c r="X150" s="9"/>
      <c r="Y150" s="9"/>
      <c r="Z150" s="9"/>
      <c r="AA150" s="9"/>
      <c r="AB150" s="9"/>
      <c r="AC150" s="9"/>
      <c r="AD150" s="7"/>
      <c r="AE150" s="6"/>
      <c r="AF150" s="6"/>
      <c r="AG150" s="6"/>
      <c r="AH150" s="6"/>
      <c r="AI150" s="10"/>
      <c r="AJ150" s="10"/>
      <c r="AK150" s="10"/>
      <c r="AL150" s="10"/>
      <c r="AM150" s="10"/>
      <c r="AN150" s="10"/>
      <c r="AO150" s="10"/>
      <c r="AP150" s="6"/>
      <c r="AQ150" s="30"/>
      <c r="AR150" s="55"/>
    </row>
    <row r="151" spans="2:44" ht="12.75">
      <c r="B151" s="888"/>
      <c r="C151" s="30"/>
      <c r="D151" s="462" t="s">
        <v>1003</v>
      </c>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55"/>
    </row>
    <row r="152" spans="2:46" ht="12.75">
      <c r="B152" s="888"/>
      <c r="C152" s="457"/>
      <c r="D152" s="456"/>
      <c r="E152" s="455" t="s">
        <v>999</v>
      </c>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55"/>
      <c r="AT152" s="463" t="b">
        <v>0</v>
      </c>
    </row>
    <row r="153" spans="2:44" ht="6" customHeight="1" thickBot="1">
      <c r="B153" s="889"/>
      <c r="C153" s="56"/>
      <c r="D153" s="14"/>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56"/>
      <c r="AR153" s="57"/>
    </row>
    <row r="154" spans="2:44" ht="3" customHeight="1" thickBot="1">
      <c r="B154" s="30"/>
      <c r="C154" s="30"/>
      <c r="D154" s="17"/>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30"/>
      <c r="AR154" s="30"/>
    </row>
    <row r="155" spans="2:44" ht="12.75" customHeight="1" thickBot="1">
      <c r="B155" s="939" t="s">
        <v>1015</v>
      </c>
      <c r="C155" s="940"/>
      <c r="D155" s="940"/>
      <c r="E155" s="940"/>
      <c r="F155" s="940"/>
      <c r="G155" s="940"/>
      <c r="H155" s="940"/>
      <c r="I155" s="940"/>
      <c r="J155" s="940"/>
      <c r="K155" s="940"/>
      <c r="L155" s="940"/>
      <c r="M155" s="940"/>
      <c r="N155" s="940"/>
      <c r="O155" s="940"/>
      <c r="P155" s="940"/>
      <c r="Q155" s="940"/>
      <c r="R155" s="940"/>
      <c r="S155" s="940"/>
      <c r="T155" s="940"/>
      <c r="U155" s="940"/>
      <c r="V155" s="940"/>
      <c r="W155" s="940"/>
      <c r="X155" s="940"/>
      <c r="Y155" s="940"/>
      <c r="Z155" s="940"/>
      <c r="AA155" s="940"/>
      <c r="AB155" s="940"/>
      <c r="AC155" s="940"/>
      <c r="AD155" s="940"/>
      <c r="AE155" s="940"/>
      <c r="AF155" s="940"/>
      <c r="AG155" s="940"/>
      <c r="AH155" s="940"/>
      <c r="AI155" s="940"/>
      <c r="AJ155" s="940"/>
      <c r="AK155" s="940"/>
      <c r="AL155" s="940"/>
      <c r="AM155" s="940"/>
      <c r="AN155" s="940"/>
      <c r="AO155" s="940"/>
      <c r="AP155" s="940"/>
      <c r="AQ155" s="940"/>
      <c r="AR155" s="941"/>
    </row>
    <row r="156" spans="2:44" ht="2.25" customHeight="1" hidden="1">
      <c r="B156" s="119"/>
      <c r="C156" s="120"/>
      <c r="D156" s="120"/>
      <c r="E156" s="120"/>
      <c r="F156" s="120"/>
      <c r="G156" s="120"/>
      <c r="H156" s="120"/>
      <c r="I156" s="120"/>
      <c r="J156" s="120"/>
      <c r="K156" s="120"/>
      <c r="L156" s="120"/>
      <c r="M156" s="120"/>
      <c r="N156" s="120"/>
      <c r="O156" s="120"/>
      <c r="P156" s="120"/>
      <c r="Q156" s="120"/>
      <c r="R156" s="120"/>
      <c r="S156" s="120"/>
      <c r="T156" s="120"/>
      <c r="U156" s="120"/>
      <c r="V156" s="270"/>
      <c r="W156" s="74"/>
      <c r="X156" s="121"/>
      <c r="Y156" s="122"/>
      <c r="Z156" s="122"/>
      <c r="AA156" s="122"/>
      <c r="AB156" s="122"/>
      <c r="AC156" s="122"/>
      <c r="AD156" s="122"/>
      <c r="AE156" s="122"/>
      <c r="AF156" s="122"/>
      <c r="AG156" s="122"/>
      <c r="AH156" s="122"/>
      <c r="AI156" s="122"/>
      <c r="AJ156" s="122"/>
      <c r="AK156" s="122"/>
      <c r="AL156" s="122"/>
      <c r="AM156" s="122"/>
      <c r="AN156" s="122"/>
      <c r="AO156" s="122"/>
      <c r="AP156" s="122"/>
      <c r="AQ156" s="122"/>
      <c r="AR156" s="123"/>
    </row>
    <row r="157" spans="2:44" ht="12.75" customHeight="1" hidden="1">
      <c r="B157" s="112"/>
      <c r="C157" s="78"/>
      <c r="D157" s="78"/>
      <c r="E157" s="225" t="s">
        <v>231</v>
      </c>
      <c r="F157" s="79"/>
      <c r="G157" s="79"/>
      <c r="H157" s="79"/>
      <c r="I157" s="79"/>
      <c r="J157" s="79"/>
      <c r="K157" s="79"/>
      <c r="L157" s="79"/>
      <c r="M157" s="79"/>
      <c r="N157" s="79"/>
      <c r="O157" s="79"/>
      <c r="P157" s="79"/>
      <c r="Q157" s="79"/>
      <c r="R157" s="79"/>
      <c r="S157" s="79"/>
      <c r="T157" s="79"/>
      <c r="U157" s="79"/>
      <c r="V157" s="111"/>
      <c r="W157" s="79"/>
      <c r="X157" s="108"/>
      <c r="Y157" s="79"/>
      <c r="Z157" s="109" t="s">
        <v>478</v>
      </c>
      <c r="AA157" s="78"/>
      <c r="AB157" s="78"/>
      <c r="AC157" s="78"/>
      <c r="AD157" s="78"/>
      <c r="AE157" s="78"/>
      <c r="AF157" s="78"/>
      <c r="AG157" s="78"/>
      <c r="AH157" s="78"/>
      <c r="AJ157" s="113" t="s">
        <v>167</v>
      </c>
      <c r="AK157" s="78"/>
      <c r="AL157" s="78"/>
      <c r="AM157" s="78"/>
      <c r="AN157" s="78"/>
      <c r="AO157" s="78"/>
      <c r="AP157" s="78"/>
      <c r="AQ157" s="78"/>
      <c r="AR157" s="110"/>
    </row>
    <row r="158" spans="2:44" ht="2.25" customHeight="1" hidden="1">
      <c r="B158" s="854"/>
      <c r="C158" s="855"/>
      <c r="D158" s="855"/>
      <c r="E158" s="226"/>
      <c r="F158" s="78"/>
      <c r="G158" s="78"/>
      <c r="H158" s="78"/>
      <c r="I158" s="78"/>
      <c r="J158" s="78"/>
      <c r="K158" s="78"/>
      <c r="L158" s="78"/>
      <c r="M158" s="113"/>
      <c r="N158" s="79"/>
      <c r="O158" s="79"/>
      <c r="P158" s="79"/>
      <c r="Q158" s="79"/>
      <c r="R158" s="79"/>
      <c r="S158" s="79"/>
      <c r="T158" s="79"/>
      <c r="U158" s="79"/>
      <c r="V158" s="111"/>
      <c r="W158" s="79"/>
      <c r="X158" s="108"/>
      <c r="Y158" s="79"/>
      <c r="Z158" s="79"/>
      <c r="AA158" s="79"/>
      <c r="AB158" s="79"/>
      <c r="AC158" s="79"/>
      <c r="AD158" s="79"/>
      <c r="AE158" s="79"/>
      <c r="AF158" s="79"/>
      <c r="AG158" s="79"/>
      <c r="AH158" s="79"/>
      <c r="AI158" s="79"/>
      <c r="AJ158" s="79"/>
      <c r="AK158" s="79"/>
      <c r="AL158" s="79"/>
      <c r="AM158" s="79"/>
      <c r="AN158" s="79"/>
      <c r="AO158" s="79"/>
      <c r="AP158" s="79"/>
      <c r="AQ158" s="79"/>
      <c r="AR158" s="111"/>
    </row>
    <row r="159" spans="2:44" ht="12.75" customHeight="1" hidden="1">
      <c r="B159" s="108"/>
      <c r="C159" s="79"/>
      <c r="D159" s="79"/>
      <c r="E159" s="225" t="s">
        <v>168</v>
      </c>
      <c r="F159" s="78"/>
      <c r="G159" s="78"/>
      <c r="H159" s="78"/>
      <c r="I159" s="78"/>
      <c r="J159" s="78"/>
      <c r="K159" s="78"/>
      <c r="L159" s="78"/>
      <c r="M159" s="78"/>
      <c r="N159" s="78"/>
      <c r="O159" s="78"/>
      <c r="P159" s="78"/>
      <c r="Q159" s="78"/>
      <c r="R159" s="78"/>
      <c r="S159" s="78"/>
      <c r="T159" s="78"/>
      <c r="U159" s="78"/>
      <c r="V159" s="110"/>
      <c r="W159" s="78"/>
      <c r="X159" s="112"/>
      <c r="Y159" s="78"/>
      <c r="Z159" s="109" t="s">
        <v>166</v>
      </c>
      <c r="AA159" s="78"/>
      <c r="AB159" s="78"/>
      <c r="AC159" s="78"/>
      <c r="AD159" s="78"/>
      <c r="AE159" s="78"/>
      <c r="AF159" s="78"/>
      <c r="AG159" s="78"/>
      <c r="AH159" s="78"/>
      <c r="AI159" s="78"/>
      <c r="AJ159" s="113" t="s">
        <v>236</v>
      </c>
      <c r="AK159" s="78"/>
      <c r="AL159" s="109"/>
      <c r="AM159" s="78"/>
      <c r="AN159" s="78"/>
      <c r="AO159" s="78"/>
      <c r="AP159" s="78"/>
      <c r="AQ159" s="78"/>
      <c r="AR159" s="110"/>
    </row>
    <row r="160" spans="2:44" ht="2.25" customHeight="1" hidden="1">
      <c r="B160" s="112"/>
      <c r="C160" s="78"/>
      <c r="D160" s="78"/>
      <c r="E160" s="227"/>
      <c r="F160" s="78"/>
      <c r="G160" s="78"/>
      <c r="H160" s="78"/>
      <c r="I160" s="78"/>
      <c r="J160" s="78"/>
      <c r="K160" s="78"/>
      <c r="L160" s="78"/>
      <c r="M160" s="78"/>
      <c r="N160" s="78"/>
      <c r="O160" s="78"/>
      <c r="P160" s="78"/>
      <c r="Q160" s="78"/>
      <c r="R160" s="78"/>
      <c r="S160" s="78"/>
      <c r="T160" s="78"/>
      <c r="U160" s="78"/>
      <c r="V160" s="110"/>
      <c r="W160" s="78"/>
      <c r="X160" s="112"/>
      <c r="Y160" s="78"/>
      <c r="Z160" s="78"/>
      <c r="AA160" s="78"/>
      <c r="AB160" s="78"/>
      <c r="AC160" s="78"/>
      <c r="AD160" s="78"/>
      <c r="AE160" s="78"/>
      <c r="AF160" s="78"/>
      <c r="AG160" s="78"/>
      <c r="AH160" s="78"/>
      <c r="AI160" s="78"/>
      <c r="AJ160" s="78"/>
      <c r="AK160" s="78"/>
      <c r="AL160" s="78"/>
      <c r="AM160" s="78"/>
      <c r="AN160" s="78"/>
      <c r="AO160" s="78"/>
      <c r="AP160" s="78"/>
      <c r="AQ160" s="78"/>
      <c r="AR160" s="110"/>
    </row>
    <row r="161" spans="2:44" ht="12.75" customHeight="1" hidden="1">
      <c r="B161" s="112"/>
      <c r="C161" s="78"/>
      <c r="D161" s="78"/>
      <c r="E161" s="228" t="str">
        <f>IF(OR(Data!A56=TRUE,Data!C56=TRUE,Data!D56=TRUE,Data!G56=TRUE),"Estimation des coûts (autres onglets du formulaire)",IF(Data!B56=TRUE,"Offre de service du consultant",IF(OR(Data!E56=TRUE,Data!F56=TRUE),"Plan de projet avec estimation des coûts","")))</f>
        <v>Estimation des coûts (autres onglets du formulaire)</v>
      </c>
      <c r="F161" s="79"/>
      <c r="G161" s="79"/>
      <c r="H161" s="79"/>
      <c r="I161" s="79"/>
      <c r="J161" s="79"/>
      <c r="K161" s="79"/>
      <c r="L161" s="79"/>
      <c r="M161" s="79"/>
      <c r="N161" s="79"/>
      <c r="O161" s="79"/>
      <c r="P161" s="79"/>
      <c r="Q161" s="79"/>
      <c r="R161" s="79"/>
      <c r="S161" s="79"/>
      <c r="T161" s="79"/>
      <c r="U161" s="79"/>
      <c r="V161" s="111"/>
      <c r="W161" s="79"/>
      <c r="X161" s="108"/>
      <c r="Y161" s="78"/>
      <c r="Z161" s="78" t="s">
        <v>187</v>
      </c>
      <c r="AA161" s="79"/>
      <c r="AB161" s="79"/>
      <c r="AC161" s="79"/>
      <c r="AD161" s="79"/>
      <c r="AE161" s="79"/>
      <c r="AF161" s="79"/>
      <c r="AG161" s="79"/>
      <c r="AH161" s="79"/>
      <c r="AI161" s="79"/>
      <c r="AJ161" s="79"/>
      <c r="AK161" s="79"/>
      <c r="AL161" s="79"/>
      <c r="AM161" s="79"/>
      <c r="AN161" s="79"/>
      <c r="AO161" s="79"/>
      <c r="AP161" s="79"/>
      <c r="AQ161" s="79"/>
      <c r="AR161" s="111"/>
    </row>
    <row r="162" spans="2:44" ht="2.25" customHeight="1" hidden="1">
      <c r="B162" s="108"/>
      <c r="C162" s="79"/>
      <c r="D162" s="79"/>
      <c r="E162" s="229"/>
      <c r="F162" s="78"/>
      <c r="G162" s="78"/>
      <c r="H162" s="78"/>
      <c r="I162" s="78"/>
      <c r="J162" s="78"/>
      <c r="K162" s="78"/>
      <c r="L162" s="78"/>
      <c r="M162" s="78"/>
      <c r="N162" s="78"/>
      <c r="O162" s="78"/>
      <c r="P162" s="78"/>
      <c r="Q162" s="78"/>
      <c r="R162" s="78"/>
      <c r="S162" s="78"/>
      <c r="T162" s="78"/>
      <c r="U162" s="78"/>
      <c r="V162" s="110"/>
      <c r="W162" s="78"/>
      <c r="X162" s="112"/>
      <c r="Y162" s="78"/>
      <c r="Z162" s="79"/>
      <c r="AA162" s="79"/>
      <c r="AB162" s="79"/>
      <c r="AC162" s="79"/>
      <c r="AD162" s="79"/>
      <c r="AE162" s="79"/>
      <c r="AF162" s="79"/>
      <c r="AG162" s="79"/>
      <c r="AH162" s="79"/>
      <c r="AI162" s="79"/>
      <c r="AJ162" s="79"/>
      <c r="AK162" s="79"/>
      <c r="AL162" s="79"/>
      <c r="AM162" s="79"/>
      <c r="AN162" s="79"/>
      <c r="AO162" s="79"/>
      <c r="AP162" s="79"/>
      <c r="AQ162" s="79"/>
      <c r="AR162" s="111"/>
    </row>
    <row r="163" spans="2:44" ht="12.75" customHeight="1" hidden="1">
      <c r="B163" s="108"/>
      <c r="C163" s="79"/>
      <c r="D163" s="79"/>
      <c r="E163" s="228" t="str">
        <f>IF(OR(Data!A56=TRUE,Data!C56=TRUE,Data!D56=TRUE,Data!G56=TRUE),"Plan d'implantation (autres onglets du formulaire)",IF(Data!B56=TRUE,"",IF(OR(Data!E56=TRUE,Data!F56=TRUE),"","")))</f>
        <v>Plan d'implantation (autres onglets du formulaire)</v>
      </c>
      <c r="F163" s="79"/>
      <c r="G163" s="79"/>
      <c r="H163" s="79"/>
      <c r="I163" s="79"/>
      <c r="J163" s="79"/>
      <c r="K163" s="79"/>
      <c r="L163" s="79"/>
      <c r="M163" s="79"/>
      <c r="N163" s="79"/>
      <c r="O163" s="79"/>
      <c r="P163" s="79"/>
      <c r="Q163" s="79"/>
      <c r="R163" s="79"/>
      <c r="S163" s="79"/>
      <c r="T163" s="79"/>
      <c r="U163" s="79"/>
      <c r="V163" s="111"/>
      <c r="W163" s="79"/>
      <c r="X163" s="108"/>
      <c r="Y163" s="79"/>
      <c r="Z163" s="113" t="s">
        <v>927</v>
      </c>
      <c r="AA163" s="79"/>
      <c r="AB163" s="79"/>
      <c r="AC163" s="79"/>
      <c r="AD163" s="79"/>
      <c r="AE163" s="79"/>
      <c r="AF163" s="79"/>
      <c r="AG163" s="79"/>
      <c r="AH163" s="79"/>
      <c r="AI163" s="79"/>
      <c r="AJ163" s="79"/>
      <c r="AK163" s="79"/>
      <c r="AL163" s="79"/>
      <c r="AM163" s="79"/>
      <c r="AN163" s="79"/>
      <c r="AO163" s="79"/>
      <c r="AP163" s="79"/>
      <c r="AQ163" s="79"/>
      <c r="AR163" s="111"/>
    </row>
    <row r="164" spans="2:44" ht="2.25" customHeight="1" hidden="1">
      <c r="B164" s="108"/>
      <c r="C164" s="79"/>
      <c r="D164" s="79"/>
      <c r="E164" s="230"/>
      <c r="F164" s="78"/>
      <c r="G164" s="78"/>
      <c r="H164" s="78"/>
      <c r="I164" s="78"/>
      <c r="J164" s="78"/>
      <c r="K164" s="78"/>
      <c r="L164" s="78"/>
      <c r="M164" s="78"/>
      <c r="N164" s="78"/>
      <c r="O164" s="78"/>
      <c r="P164" s="78"/>
      <c r="Q164" s="78"/>
      <c r="R164" s="78"/>
      <c r="S164" s="78"/>
      <c r="T164" s="78"/>
      <c r="U164" s="78"/>
      <c r="V164" s="110"/>
      <c r="W164" s="78"/>
      <c r="X164" s="112"/>
      <c r="Y164" s="78"/>
      <c r="Z164" s="114"/>
      <c r="AA164" s="79"/>
      <c r="AB164" s="79"/>
      <c r="AC164" s="79"/>
      <c r="AD164" s="79"/>
      <c r="AE164" s="79"/>
      <c r="AF164" s="79"/>
      <c r="AG164" s="79"/>
      <c r="AH164" s="79"/>
      <c r="AI164" s="79"/>
      <c r="AJ164" s="79"/>
      <c r="AK164" s="79"/>
      <c r="AL164" s="79"/>
      <c r="AM164" s="79"/>
      <c r="AN164" s="79"/>
      <c r="AO164" s="79"/>
      <c r="AP164" s="79"/>
      <c r="AQ164" s="79"/>
      <c r="AR164" s="111"/>
    </row>
    <row r="165" spans="2:44" ht="12.75" customHeight="1" hidden="1">
      <c r="B165" s="854"/>
      <c r="C165" s="855"/>
      <c r="D165" s="855"/>
      <c r="E165" s="228" t="str">
        <f>IF(OR(Data!A56=TRUE,Data!C56=TRUE,Data!D56=TRUE,Data!G56=TRUE),"Plan de projet",IF(Data!B56=TRUE,"",IF(OR(Data!E56=TRUE,Data!F56=TRUE),"","")))</f>
        <v>Plan de projet</v>
      </c>
      <c r="F165" s="78"/>
      <c r="G165" s="78"/>
      <c r="H165" s="78"/>
      <c r="I165" s="78"/>
      <c r="J165" s="78"/>
      <c r="K165" s="78"/>
      <c r="L165" s="78"/>
      <c r="M165" s="78"/>
      <c r="N165" s="78"/>
      <c r="O165" s="78"/>
      <c r="P165" s="78"/>
      <c r="Q165" s="78"/>
      <c r="R165" s="78"/>
      <c r="S165" s="78"/>
      <c r="T165" s="78"/>
      <c r="U165" s="78"/>
      <c r="V165" s="110"/>
      <c r="W165" s="78"/>
      <c r="X165" s="112"/>
      <c r="Y165" s="78"/>
      <c r="Z165" s="79" t="s">
        <v>33</v>
      </c>
      <c r="AA165" s="115"/>
      <c r="AB165" s="78"/>
      <c r="AC165" s="78"/>
      <c r="AD165" s="78"/>
      <c r="AE165" s="78"/>
      <c r="AF165" s="78"/>
      <c r="AG165" s="78"/>
      <c r="AH165" s="78"/>
      <c r="AI165" s="78"/>
      <c r="AJ165" s="78"/>
      <c r="AK165" s="78"/>
      <c r="AL165" s="78"/>
      <c r="AM165" s="78"/>
      <c r="AN165" s="78"/>
      <c r="AO165" s="78"/>
      <c r="AP165" s="78"/>
      <c r="AQ165" s="78"/>
      <c r="AR165" s="110"/>
    </row>
    <row r="166" spans="2:44" ht="2.25" customHeight="1" hidden="1">
      <c r="B166" s="854"/>
      <c r="C166" s="855"/>
      <c r="D166" s="855"/>
      <c r="E166" s="230"/>
      <c r="F166" s="79"/>
      <c r="G166" s="79"/>
      <c r="H166" s="79"/>
      <c r="I166" s="79"/>
      <c r="J166" s="79"/>
      <c r="K166" s="79"/>
      <c r="L166" s="79"/>
      <c r="M166" s="79"/>
      <c r="N166" s="79"/>
      <c r="O166" s="79"/>
      <c r="P166" s="79"/>
      <c r="Q166" s="79"/>
      <c r="R166" s="79"/>
      <c r="S166" s="79"/>
      <c r="T166" s="79"/>
      <c r="U166" s="79"/>
      <c r="V166" s="111"/>
      <c r="W166" s="79"/>
      <c r="X166" s="108"/>
      <c r="Y166" s="79"/>
      <c r="Z166" s="114"/>
      <c r="AA166" s="79"/>
      <c r="AB166" s="79"/>
      <c r="AC166" s="79"/>
      <c r="AD166" s="79"/>
      <c r="AE166" s="79"/>
      <c r="AF166" s="79"/>
      <c r="AG166" s="79"/>
      <c r="AH166" s="79"/>
      <c r="AI166" s="79"/>
      <c r="AJ166" s="79"/>
      <c r="AK166" s="79"/>
      <c r="AL166" s="79"/>
      <c r="AM166" s="79"/>
      <c r="AN166" s="79"/>
      <c r="AO166" s="79"/>
      <c r="AP166" s="79"/>
      <c r="AQ166" s="79"/>
      <c r="AR166" s="111"/>
    </row>
    <row r="167" spans="2:44" ht="3" customHeight="1">
      <c r="B167" s="108"/>
      <c r="C167" s="79"/>
      <c r="D167" s="79"/>
      <c r="E167" s="228"/>
      <c r="F167" s="78"/>
      <c r="G167" s="78"/>
      <c r="H167" s="78"/>
      <c r="I167" s="78"/>
      <c r="J167" s="78"/>
      <c r="K167" s="78"/>
      <c r="L167" s="78"/>
      <c r="M167" s="78"/>
      <c r="N167" s="78"/>
      <c r="O167" s="78"/>
      <c r="P167" s="78"/>
      <c r="Q167" s="78"/>
      <c r="R167" s="78"/>
      <c r="S167" s="78"/>
      <c r="T167" s="78"/>
      <c r="U167" s="78"/>
      <c r="V167" s="110"/>
      <c r="W167" s="78"/>
      <c r="X167" s="112"/>
      <c r="Y167" s="78"/>
      <c r="Z167" s="79"/>
      <c r="AA167" s="272"/>
      <c r="AB167" s="272"/>
      <c r="AC167" s="272"/>
      <c r="AD167" s="272"/>
      <c r="AE167" s="272"/>
      <c r="AF167" s="272"/>
      <c r="AG167" s="272"/>
      <c r="AH167" s="272"/>
      <c r="AI167" s="272"/>
      <c r="AJ167" s="272"/>
      <c r="AK167" s="272"/>
      <c r="AL167" s="272"/>
      <c r="AM167" s="272"/>
      <c r="AN167" s="272"/>
      <c r="AO167" s="272"/>
      <c r="AP167" s="272"/>
      <c r="AQ167" s="272"/>
      <c r="AR167" s="110"/>
    </row>
    <row r="168" spans="2:44" ht="12.75" customHeight="1">
      <c r="B168" s="112"/>
      <c r="C168" s="229"/>
      <c r="D168" s="229"/>
      <c r="E168" s="230"/>
      <c r="F168" s="227"/>
      <c r="G168" s="227"/>
      <c r="H168" s="227"/>
      <c r="I168" s="227"/>
      <c r="J168" s="227"/>
      <c r="K168" s="227"/>
      <c r="L168" s="227"/>
      <c r="M168" s="227"/>
      <c r="N168" s="227"/>
      <c r="O168" s="227"/>
      <c r="P168" s="227"/>
      <c r="Q168" s="227"/>
      <c r="R168" s="227"/>
      <c r="S168" s="227"/>
      <c r="T168" s="227"/>
      <c r="U168" s="227"/>
      <c r="V168" s="304"/>
      <c r="W168" s="79"/>
      <c r="X168" s="299"/>
      <c r="Y168" s="227"/>
      <c r="Z168" s="226"/>
      <c r="AA168" s="230"/>
      <c r="AB168" s="230"/>
      <c r="AC168" s="230"/>
      <c r="AD168" s="230"/>
      <c r="AE168" s="230"/>
      <c r="AF168" s="230"/>
      <c r="AG168" s="230"/>
      <c r="AH168" s="230"/>
      <c r="AI168" s="230"/>
      <c r="AJ168" s="230"/>
      <c r="AK168" s="230"/>
      <c r="AL168" s="230"/>
      <c r="AM168" s="230"/>
      <c r="AN168" s="230"/>
      <c r="AO168" s="230"/>
      <c r="AP168" s="230"/>
      <c r="AQ168" s="230"/>
      <c r="AR168" s="111"/>
    </row>
    <row r="169" spans="2:44" ht="3" customHeight="1">
      <c r="B169" s="108"/>
      <c r="C169" s="227"/>
      <c r="D169" s="227"/>
      <c r="E169" s="231"/>
      <c r="F169" s="229"/>
      <c r="G169" s="229"/>
      <c r="H169" s="229"/>
      <c r="I169" s="229"/>
      <c r="J169" s="229"/>
      <c r="K169" s="229"/>
      <c r="L169" s="229"/>
      <c r="M169" s="229"/>
      <c r="N169" s="229"/>
      <c r="O169" s="229"/>
      <c r="P169" s="229"/>
      <c r="Q169" s="229"/>
      <c r="R169" s="229"/>
      <c r="S169" s="229"/>
      <c r="T169" s="229"/>
      <c r="U169" s="229"/>
      <c r="V169" s="305"/>
      <c r="W169" s="78"/>
      <c r="X169" s="300"/>
      <c r="Y169" s="229"/>
      <c r="Z169" s="227"/>
      <c r="AA169" s="271"/>
      <c r="AB169" s="271"/>
      <c r="AC169" s="271"/>
      <c r="AD169" s="271"/>
      <c r="AE169" s="271"/>
      <c r="AF169" s="271"/>
      <c r="AG169" s="271"/>
      <c r="AH169" s="271"/>
      <c r="AI169" s="271"/>
      <c r="AJ169" s="271"/>
      <c r="AK169" s="271"/>
      <c r="AL169" s="271"/>
      <c r="AM169" s="271"/>
      <c r="AN169" s="271"/>
      <c r="AO169" s="271"/>
      <c r="AP169" s="271"/>
      <c r="AQ169" s="271"/>
      <c r="AR169" s="110"/>
    </row>
    <row r="170" spans="2:44" ht="12.75" customHeight="1">
      <c r="B170" s="112"/>
      <c r="C170" s="229"/>
      <c r="D170" s="229"/>
      <c r="E170" s="230"/>
      <c r="F170" s="227"/>
      <c r="G170" s="227"/>
      <c r="H170" s="227"/>
      <c r="I170" s="227"/>
      <c r="J170" s="227"/>
      <c r="K170" s="227"/>
      <c r="L170" s="227"/>
      <c r="M170" s="227"/>
      <c r="N170" s="227"/>
      <c r="O170" s="227"/>
      <c r="P170" s="227"/>
      <c r="Q170" s="227"/>
      <c r="R170" s="227"/>
      <c r="S170" s="227"/>
      <c r="T170" s="227"/>
      <c r="U170" s="227"/>
      <c r="V170" s="304"/>
      <c r="W170" s="79"/>
      <c r="X170" s="299"/>
      <c r="Y170" s="227"/>
      <c r="Z170" s="226"/>
      <c r="AA170" s="230"/>
      <c r="AB170" s="230"/>
      <c r="AC170" s="230"/>
      <c r="AD170" s="230"/>
      <c r="AE170" s="230"/>
      <c r="AF170" s="230"/>
      <c r="AG170" s="230"/>
      <c r="AH170" s="230"/>
      <c r="AI170" s="230"/>
      <c r="AJ170" s="230"/>
      <c r="AK170" s="230"/>
      <c r="AL170" s="230"/>
      <c r="AM170" s="230"/>
      <c r="AN170" s="230"/>
      <c r="AO170" s="230"/>
      <c r="AP170" s="230"/>
      <c r="AQ170" s="230"/>
      <c r="AR170" s="111"/>
    </row>
    <row r="171" spans="2:44" ht="3.75" customHeight="1">
      <c r="B171" s="112"/>
      <c r="C171" s="229"/>
      <c r="D171" s="229"/>
      <c r="E171" s="230"/>
      <c r="F171" s="227"/>
      <c r="G171" s="227"/>
      <c r="H171" s="227"/>
      <c r="I171" s="227"/>
      <c r="J171" s="227"/>
      <c r="K171" s="227"/>
      <c r="L171" s="227"/>
      <c r="M171" s="227"/>
      <c r="N171" s="227"/>
      <c r="O171" s="227"/>
      <c r="P171" s="227"/>
      <c r="Q171" s="227"/>
      <c r="R171" s="227"/>
      <c r="S171" s="227"/>
      <c r="T171" s="227"/>
      <c r="U171" s="227"/>
      <c r="V171" s="304"/>
      <c r="W171" s="79"/>
      <c r="X171" s="299"/>
      <c r="Y171" s="227"/>
      <c r="Z171" s="230"/>
      <c r="AA171" s="230"/>
      <c r="AB171" s="230"/>
      <c r="AC171" s="230"/>
      <c r="AD171" s="230"/>
      <c r="AE171" s="230"/>
      <c r="AF171" s="230"/>
      <c r="AG171" s="230"/>
      <c r="AH171" s="230"/>
      <c r="AI171" s="230"/>
      <c r="AJ171" s="230"/>
      <c r="AK171" s="230"/>
      <c r="AL171" s="230"/>
      <c r="AM171" s="230"/>
      <c r="AN171" s="230"/>
      <c r="AO171" s="230"/>
      <c r="AP171" s="230"/>
      <c r="AQ171" s="230"/>
      <c r="AR171" s="111"/>
    </row>
    <row r="172" spans="2:44" ht="12.75" customHeight="1">
      <c r="B172" s="112"/>
      <c r="C172" s="229"/>
      <c r="D172" s="229"/>
      <c r="E172" s="215"/>
      <c r="F172" s="227"/>
      <c r="G172" s="227"/>
      <c r="H172" s="227"/>
      <c r="I172" s="227"/>
      <c r="J172" s="227"/>
      <c r="K172" s="227"/>
      <c r="L172" s="227"/>
      <c r="M172" s="227"/>
      <c r="N172" s="227"/>
      <c r="O172" s="227"/>
      <c r="P172" s="227"/>
      <c r="Q172" s="227"/>
      <c r="R172" s="227"/>
      <c r="S172" s="227"/>
      <c r="T172" s="227"/>
      <c r="U172" s="227"/>
      <c r="V172" s="304"/>
      <c r="W172" s="79"/>
      <c r="X172" s="299"/>
      <c r="Y172" s="227"/>
      <c r="Z172" s="227"/>
      <c r="AA172" s="271"/>
      <c r="AB172" s="271"/>
      <c r="AC172" s="271"/>
      <c r="AD172" s="271"/>
      <c r="AE172" s="271"/>
      <c r="AF172" s="271"/>
      <c r="AG172" s="271"/>
      <c r="AH172" s="271"/>
      <c r="AI172" s="271"/>
      <c r="AJ172" s="271"/>
      <c r="AK172" s="271"/>
      <c r="AL172" s="271"/>
      <c r="AM172" s="271"/>
      <c r="AN172" s="271"/>
      <c r="AO172" s="271"/>
      <c r="AP172" s="271"/>
      <c r="AQ172" s="271"/>
      <c r="AR172" s="111"/>
    </row>
    <row r="173" spans="2:44" ht="4.5" customHeight="1">
      <c r="B173" s="112"/>
      <c r="C173" s="229"/>
      <c r="D173" s="229"/>
      <c r="E173" s="215"/>
      <c r="F173" s="227"/>
      <c r="G173" s="227"/>
      <c r="H173" s="227"/>
      <c r="I173" s="227"/>
      <c r="J173" s="227"/>
      <c r="K173" s="227"/>
      <c r="L173" s="227"/>
      <c r="M173" s="227"/>
      <c r="N173" s="227"/>
      <c r="O173" s="227"/>
      <c r="P173" s="227"/>
      <c r="Q173" s="227"/>
      <c r="R173" s="227"/>
      <c r="S173" s="227"/>
      <c r="T173" s="227"/>
      <c r="U173" s="227"/>
      <c r="V173" s="304"/>
      <c r="W173" s="79"/>
      <c r="X173" s="299"/>
      <c r="Y173" s="227"/>
      <c r="Z173" s="227"/>
      <c r="AA173" s="271"/>
      <c r="AB173" s="271"/>
      <c r="AC173" s="271"/>
      <c r="AD173" s="271"/>
      <c r="AE173" s="271"/>
      <c r="AF173" s="271"/>
      <c r="AG173" s="271"/>
      <c r="AH173" s="271"/>
      <c r="AI173" s="271"/>
      <c r="AJ173" s="271"/>
      <c r="AK173" s="271"/>
      <c r="AL173" s="271"/>
      <c r="AM173" s="271"/>
      <c r="AN173" s="271"/>
      <c r="AO173" s="271"/>
      <c r="AP173" s="271"/>
      <c r="AQ173" s="271"/>
      <c r="AR173" s="111"/>
    </row>
    <row r="174" spans="2:44" ht="12.75" customHeight="1">
      <c r="B174" s="112"/>
      <c r="C174" s="229"/>
      <c r="D174" s="229"/>
      <c r="E174" s="215"/>
      <c r="F174" s="227"/>
      <c r="G174" s="227"/>
      <c r="H174" s="227"/>
      <c r="I174" s="227"/>
      <c r="J174" s="227"/>
      <c r="K174" s="227"/>
      <c r="L174" s="227"/>
      <c r="M174" s="227"/>
      <c r="N174" s="227"/>
      <c r="O174" s="227"/>
      <c r="P174" s="227"/>
      <c r="Q174" s="227"/>
      <c r="R174" s="227"/>
      <c r="S174" s="227"/>
      <c r="T174" s="227"/>
      <c r="U174" s="227"/>
      <c r="V174" s="304"/>
      <c r="W174" s="79"/>
      <c r="X174" s="299"/>
      <c r="Y174" s="227"/>
      <c r="Z174" s="227"/>
      <c r="AA174" s="271"/>
      <c r="AB174" s="271"/>
      <c r="AC174" s="271"/>
      <c r="AD174" s="271"/>
      <c r="AE174" s="271"/>
      <c r="AF174" s="271"/>
      <c r="AG174" s="271"/>
      <c r="AH174" s="271"/>
      <c r="AI174" s="271"/>
      <c r="AJ174" s="271"/>
      <c r="AK174" s="271"/>
      <c r="AL174" s="271"/>
      <c r="AM174" s="271"/>
      <c r="AN174" s="271"/>
      <c r="AO174" s="271"/>
      <c r="AP174" s="271"/>
      <c r="AQ174" s="271"/>
      <c r="AR174" s="111"/>
    </row>
    <row r="175" spans="2:44" ht="6.75" customHeight="1" thickBot="1">
      <c r="B175" s="117"/>
      <c r="C175" s="306"/>
      <c r="D175" s="306"/>
      <c r="E175" s="307"/>
      <c r="F175" s="302"/>
      <c r="G175" s="302"/>
      <c r="H175" s="302"/>
      <c r="I175" s="302"/>
      <c r="J175" s="302"/>
      <c r="K175" s="302"/>
      <c r="L175" s="302"/>
      <c r="M175" s="302"/>
      <c r="N175" s="302"/>
      <c r="O175" s="302"/>
      <c r="P175" s="302"/>
      <c r="Q175" s="302"/>
      <c r="R175" s="302"/>
      <c r="S175" s="302"/>
      <c r="T175" s="302"/>
      <c r="U175" s="302"/>
      <c r="V175" s="308"/>
      <c r="W175" s="78"/>
      <c r="X175" s="301"/>
      <c r="Y175" s="302"/>
      <c r="Z175" s="302"/>
      <c r="AA175" s="303"/>
      <c r="AB175" s="303"/>
      <c r="AC175" s="303"/>
      <c r="AD175" s="303"/>
      <c r="AE175" s="303"/>
      <c r="AF175" s="303"/>
      <c r="AG175" s="303"/>
      <c r="AH175" s="303"/>
      <c r="AI175" s="303"/>
      <c r="AJ175" s="303"/>
      <c r="AK175" s="303"/>
      <c r="AL175" s="303"/>
      <c r="AM175" s="303"/>
      <c r="AN175" s="303"/>
      <c r="AO175" s="303"/>
      <c r="AP175" s="303"/>
      <c r="AQ175" s="303"/>
      <c r="AR175" s="116"/>
    </row>
    <row r="176" spans="2:25" ht="12.75" customHeight="1">
      <c r="B176" s="882"/>
      <c r="C176" s="882"/>
      <c r="D176" s="882"/>
      <c r="E176" s="216"/>
      <c r="Y176" s="458"/>
    </row>
    <row r="177" spans="2:5" ht="12.75" customHeight="1">
      <c r="B177" s="881"/>
      <c r="C177" s="881"/>
      <c r="D177" s="881"/>
      <c r="E177" s="88"/>
    </row>
    <row r="178" ht="12.75" customHeight="1">
      <c r="E178" s="40"/>
    </row>
    <row r="179" spans="2:44" ht="12.75" customHeight="1">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row>
    <row r="180" spans="2:44" ht="12.75" customHeight="1">
      <c r="B180" s="251" t="s">
        <v>913</v>
      </c>
      <c r="C180" s="252"/>
      <c r="D180" s="252"/>
      <c r="E180" s="253" t="str">
        <f>Data!A2</f>
        <v>FO_ECOPERF_V1</v>
      </c>
      <c r="F180" s="254"/>
      <c r="G180" s="254"/>
      <c r="H180" s="254"/>
      <c r="I180" s="59"/>
      <c r="J180" s="267" t="s">
        <v>1058</v>
      </c>
      <c r="K180" s="59"/>
      <c r="L180" s="59"/>
      <c r="M180" s="5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row>
    <row r="181" spans="2:44" ht="12.75" customHeight="1">
      <c r="B181" s="29"/>
      <c r="C181" s="29"/>
      <c r="D181" s="29"/>
      <c r="E181" s="59"/>
      <c r="F181" s="59"/>
      <c r="G181" s="59"/>
      <c r="H181" s="59"/>
      <c r="I181" s="59"/>
      <c r="J181" s="59"/>
      <c r="K181" s="59"/>
      <c r="L181" s="59"/>
      <c r="M181" s="5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row>
    <row r="182" ht="12.75" customHeight="1">
      <c r="B182" s="938"/>
    </row>
    <row r="183" ht="12.75" customHeight="1" hidden="1">
      <c r="B183" s="938"/>
    </row>
    <row r="184" ht="12.75" customHeight="1" hidden="1">
      <c r="B184" s="938"/>
    </row>
    <row r="185" ht="12.75" customHeight="1" hidden="1">
      <c r="B185" s="938"/>
    </row>
    <row r="186" ht="6" customHeight="1" hidden="1">
      <c r="B186" s="938"/>
    </row>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sheetData>
  <sheetProtection password="E71A" sheet="1" objects="1" scenarios="1"/>
  <mergeCells count="388">
    <mergeCell ref="V121:Z121"/>
    <mergeCell ref="AA121:AE121"/>
    <mergeCell ref="AF121:AM121"/>
    <mergeCell ref="AN121:AQ121"/>
    <mergeCell ref="E129:AQ129"/>
    <mergeCell ref="AJ126:AO126"/>
    <mergeCell ref="AJ127:AO127"/>
    <mergeCell ref="AJ128:AO128"/>
    <mergeCell ref="AP125:AQ125"/>
    <mergeCell ref="AC128:AE128"/>
    <mergeCell ref="B104:B147"/>
    <mergeCell ref="AP126:AQ126"/>
    <mergeCell ref="AP127:AQ127"/>
    <mergeCell ref="AP128:AQ128"/>
    <mergeCell ref="AP124:AQ124"/>
    <mergeCell ref="AJ124:AO124"/>
    <mergeCell ref="AJ123:AO123"/>
    <mergeCell ref="AP123:AQ123"/>
    <mergeCell ref="AJ125:AO125"/>
    <mergeCell ref="AC122:AQ122"/>
    <mergeCell ref="AF125:AI125"/>
    <mergeCell ref="AF126:AI126"/>
    <mergeCell ref="AF127:AI127"/>
    <mergeCell ref="AF128:AI128"/>
    <mergeCell ref="AC123:AE123"/>
    <mergeCell ref="AF123:AI123"/>
    <mergeCell ref="AC124:AE124"/>
    <mergeCell ref="AF124:AI124"/>
    <mergeCell ref="AC125:AE125"/>
    <mergeCell ref="AC126:AE126"/>
    <mergeCell ref="AC127:AE127"/>
    <mergeCell ref="O127:W127"/>
    <mergeCell ref="O128:W128"/>
    <mergeCell ref="AA125:AB125"/>
    <mergeCell ref="AA126:AB126"/>
    <mergeCell ref="AA127:AB127"/>
    <mergeCell ref="AA128:AB128"/>
    <mergeCell ref="O126:W126"/>
    <mergeCell ref="AA122:AB123"/>
    <mergeCell ref="AA124:AB124"/>
    <mergeCell ref="X125:Z125"/>
    <mergeCell ref="X126:Z126"/>
    <mergeCell ref="X127:Z127"/>
    <mergeCell ref="X128:Z128"/>
    <mergeCell ref="X124:Z124"/>
    <mergeCell ref="O122:W123"/>
    <mergeCell ref="X122:Z123"/>
    <mergeCell ref="O125:W125"/>
    <mergeCell ref="H127:L127"/>
    <mergeCell ref="H128:L128"/>
    <mergeCell ref="M124:N124"/>
    <mergeCell ref="M125:N125"/>
    <mergeCell ref="M126:N126"/>
    <mergeCell ref="M127:N127"/>
    <mergeCell ref="R86:U86"/>
    <mergeCell ref="D90:M90"/>
    <mergeCell ref="N90:Q90"/>
    <mergeCell ref="M128:N128"/>
    <mergeCell ref="H122:L123"/>
    <mergeCell ref="D122:G122"/>
    <mergeCell ref="H124:L124"/>
    <mergeCell ref="H125:L125"/>
    <mergeCell ref="H126:L126"/>
    <mergeCell ref="M123:N123"/>
    <mergeCell ref="E125:G125"/>
    <mergeCell ref="E126:G126"/>
    <mergeCell ref="E127:G127"/>
    <mergeCell ref="E128:G128"/>
    <mergeCell ref="V104:AD104"/>
    <mergeCell ref="P106:U106"/>
    <mergeCell ref="M122:N122"/>
    <mergeCell ref="E123:G123"/>
    <mergeCell ref="E124:G124"/>
    <mergeCell ref="O124:W124"/>
    <mergeCell ref="H13:AD13"/>
    <mergeCell ref="AC22:AO22"/>
    <mergeCell ref="M20:Z20"/>
    <mergeCell ref="H74:AC74"/>
    <mergeCell ref="H28:U28"/>
    <mergeCell ref="H26:AC26"/>
    <mergeCell ref="AI74:AO74"/>
    <mergeCell ref="AI56:AO56"/>
    <mergeCell ref="AI72:AO72"/>
    <mergeCell ref="AI69:AO69"/>
    <mergeCell ref="B182:B186"/>
    <mergeCell ref="B155:AR155"/>
    <mergeCell ref="D105:E105"/>
    <mergeCell ref="D106:E106"/>
    <mergeCell ref="R89:U89"/>
    <mergeCell ref="D88:I88"/>
    <mergeCell ref="N88:Q88"/>
    <mergeCell ref="D89:I89"/>
    <mergeCell ref="P105:U105"/>
    <mergeCell ref="B81:B91"/>
    <mergeCell ref="H33:Z33"/>
    <mergeCell ref="Z78:AC78"/>
    <mergeCell ref="D84:I84"/>
    <mergeCell ref="D91:M91"/>
    <mergeCell ref="V85:Z85"/>
    <mergeCell ref="M35:Z35"/>
    <mergeCell ref="H72:AC72"/>
    <mergeCell ref="H43:U43"/>
    <mergeCell ref="H46:J46"/>
    <mergeCell ref="J87:M87"/>
    <mergeCell ref="AN86:AQ86"/>
    <mergeCell ref="H59:J59"/>
    <mergeCell ref="AJ83:AM83"/>
    <mergeCell ref="H65:AC65"/>
    <mergeCell ref="H61:Z61"/>
    <mergeCell ref="H50:AC50"/>
    <mergeCell ref="H67:U67"/>
    <mergeCell ref="AJ86:AM86"/>
    <mergeCell ref="R85:U85"/>
    <mergeCell ref="AI76:AO76"/>
    <mergeCell ref="AA83:AD83"/>
    <mergeCell ref="AA85:AD85"/>
    <mergeCell ref="B58:B70"/>
    <mergeCell ref="AC61:AO61"/>
    <mergeCell ref="AE82:AI82"/>
    <mergeCell ref="AN85:AQ85"/>
    <mergeCell ref="AN83:AQ83"/>
    <mergeCell ref="M59:Z59"/>
    <mergeCell ref="AC59:AO59"/>
    <mergeCell ref="J85:M85"/>
    <mergeCell ref="AE69:AF69"/>
    <mergeCell ref="AQ72:AQ73"/>
    <mergeCell ref="AI41:AO41"/>
    <mergeCell ref="AI43:AO43"/>
    <mergeCell ref="AI63:AO63"/>
    <mergeCell ref="AI54:AO54"/>
    <mergeCell ref="AI50:AO50"/>
    <mergeCell ref="AP46:AQ46"/>
    <mergeCell ref="AP59:AQ59"/>
    <mergeCell ref="H24:AC24"/>
    <mergeCell ref="AP20:AQ20"/>
    <mergeCell ref="H35:J35"/>
    <mergeCell ref="H15:U15"/>
    <mergeCell ref="H20:J20"/>
    <mergeCell ref="Z28:AC28"/>
    <mergeCell ref="AP35:AQ35"/>
    <mergeCell ref="H22:Z22"/>
    <mergeCell ref="D17:U17"/>
    <mergeCell ref="AP33:AQ33"/>
    <mergeCell ref="AN84:AQ84"/>
    <mergeCell ref="V84:Z84"/>
    <mergeCell ref="D81:AQ81"/>
    <mergeCell ref="Z67:AC67"/>
    <mergeCell ref="H52:AC52"/>
    <mergeCell ref="AI52:AO52"/>
    <mergeCell ref="J83:M83"/>
    <mergeCell ref="N83:Q83"/>
    <mergeCell ref="D79:U79"/>
    <mergeCell ref="AE56:AF56"/>
    <mergeCell ref="D83:I83"/>
    <mergeCell ref="AN82:AQ82"/>
    <mergeCell ref="H54:U54"/>
    <mergeCell ref="M46:Z46"/>
    <mergeCell ref="AI67:AO67"/>
    <mergeCell ref="B5:AR5"/>
    <mergeCell ref="AI28:AO28"/>
    <mergeCell ref="AA82:AD82"/>
    <mergeCell ref="AJ82:AM82"/>
    <mergeCell ref="V82:Z82"/>
    <mergeCell ref="Z76:AC76"/>
    <mergeCell ref="H48:Z48"/>
    <mergeCell ref="AI26:AO26"/>
    <mergeCell ref="Z54:AC54"/>
    <mergeCell ref="B4:AR4"/>
    <mergeCell ref="H11:AD11"/>
    <mergeCell ref="AL13:AQ13"/>
    <mergeCell ref="H41:AC41"/>
    <mergeCell ref="AI39:AO39"/>
    <mergeCell ref="AI65:AO65"/>
    <mergeCell ref="B10:B18"/>
    <mergeCell ref="B19:B31"/>
    <mergeCell ref="Z15:AD15"/>
    <mergeCell ref="B148:B153"/>
    <mergeCell ref="B32:B44"/>
    <mergeCell ref="B45:B57"/>
    <mergeCell ref="H39:AC39"/>
    <mergeCell ref="H63:AC63"/>
    <mergeCell ref="Z43:AC43"/>
    <mergeCell ref="H76:U76"/>
    <mergeCell ref="D82:U82"/>
    <mergeCell ref="AC35:AO35"/>
    <mergeCell ref="AC37:AO37"/>
    <mergeCell ref="B177:D177"/>
    <mergeCell ref="B176:D176"/>
    <mergeCell ref="J149:AD149"/>
    <mergeCell ref="B166:D166"/>
    <mergeCell ref="D86:I86"/>
    <mergeCell ref="J86:M86"/>
    <mergeCell ref="H37:Z37"/>
    <mergeCell ref="B165:D165"/>
    <mergeCell ref="V86:Z86"/>
    <mergeCell ref="AA86:AD86"/>
    <mergeCell ref="AL11:AQ11"/>
    <mergeCell ref="AC46:AO46"/>
    <mergeCell ref="AC48:AO48"/>
    <mergeCell ref="AJ84:AM84"/>
    <mergeCell ref="AE83:AI83"/>
    <mergeCell ref="AE84:AI84"/>
    <mergeCell ref="V83:Z83"/>
    <mergeCell ref="AL15:AQ15"/>
    <mergeCell ref="AI24:AO24"/>
    <mergeCell ref="AC20:AO20"/>
    <mergeCell ref="AJ149:AQ149"/>
    <mergeCell ref="AN87:AQ87"/>
    <mergeCell ref="AP119:AQ119"/>
    <mergeCell ref="AE90:AI90"/>
    <mergeCell ref="AK112:AM112"/>
    <mergeCell ref="AE89:AI89"/>
    <mergeCell ref="AP117:AQ117"/>
    <mergeCell ref="D87:I87"/>
    <mergeCell ref="AN89:AQ89"/>
    <mergeCell ref="V88:Z88"/>
    <mergeCell ref="J88:M88"/>
    <mergeCell ref="N87:Q87"/>
    <mergeCell ref="V87:Z87"/>
    <mergeCell ref="AN88:AQ88"/>
    <mergeCell ref="J89:M89"/>
    <mergeCell ref="AJ87:AM87"/>
    <mergeCell ref="V89:Z89"/>
    <mergeCell ref="N86:Q86"/>
    <mergeCell ref="AJ85:AM85"/>
    <mergeCell ref="AE86:AI86"/>
    <mergeCell ref="AE85:AI85"/>
    <mergeCell ref="AA88:AD88"/>
    <mergeCell ref="AE88:AI88"/>
    <mergeCell ref="N85:Q85"/>
    <mergeCell ref="AA87:AD87"/>
    <mergeCell ref="AE87:AI87"/>
    <mergeCell ref="R87:U87"/>
    <mergeCell ref="B158:D158"/>
    <mergeCell ref="J84:M84"/>
    <mergeCell ref="R84:U84"/>
    <mergeCell ref="AE105:AI105"/>
    <mergeCell ref="D85:I85"/>
    <mergeCell ref="AJ89:AM89"/>
    <mergeCell ref="N84:Q84"/>
    <mergeCell ref="AA84:AD84"/>
    <mergeCell ref="AJ88:AM88"/>
    <mergeCell ref="N89:Q89"/>
    <mergeCell ref="R90:U90"/>
    <mergeCell ref="D119:Q119"/>
    <mergeCell ref="R119:T119"/>
    <mergeCell ref="X119:Y119"/>
    <mergeCell ref="AI118:AJ118"/>
    <mergeCell ref="P117:Q117"/>
    <mergeCell ref="P116:Q116"/>
    <mergeCell ref="AJ108:AM108"/>
    <mergeCell ref="V90:Z90"/>
    <mergeCell ref="AJ90:AM90"/>
    <mergeCell ref="D103:AQ103"/>
    <mergeCell ref="F105:O105"/>
    <mergeCell ref="AN108:AO108"/>
    <mergeCell ref="V106:AD106"/>
    <mergeCell ref="AJ105:AM105"/>
    <mergeCell ref="AA108:AB108"/>
    <mergeCell ref="D108:O108"/>
    <mergeCell ref="V108:Z108"/>
    <mergeCell ref="AN119:AO119"/>
    <mergeCell ref="Z119:AJ119"/>
    <mergeCell ref="AN105:AQ105"/>
    <mergeCell ref="AN106:AQ106"/>
    <mergeCell ref="AN118:AO118"/>
    <mergeCell ref="AK117:AM117"/>
    <mergeCell ref="V105:AD105"/>
    <mergeCell ref="Z117:AB117"/>
    <mergeCell ref="U118:W118"/>
    <mergeCell ref="Z115:AB115"/>
    <mergeCell ref="D139:AM139"/>
    <mergeCell ref="AK119:AM119"/>
    <mergeCell ref="D138:AM138"/>
    <mergeCell ref="F106:O106"/>
    <mergeCell ref="AE106:AI106"/>
    <mergeCell ref="AB133:AE133"/>
    <mergeCell ref="AJ106:AM106"/>
    <mergeCell ref="Z112:AB112"/>
    <mergeCell ref="X118:Y118"/>
    <mergeCell ref="G118:I118"/>
    <mergeCell ref="D141:U141"/>
    <mergeCell ref="AN137:AQ137"/>
    <mergeCell ref="AN138:AQ138"/>
    <mergeCell ref="O133:R133"/>
    <mergeCell ref="U119:V119"/>
    <mergeCell ref="AP112:AQ112"/>
    <mergeCell ref="AP113:AQ113"/>
    <mergeCell ref="P112:Q112"/>
    <mergeCell ref="Z114:AB114"/>
    <mergeCell ref="Z116:AB116"/>
    <mergeCell ref="AN139:AQ139"/>
    <mergeCell ref="H131:AQ131"/>
    <mergeCell ref="AN133:AQ133"/>
    <mergeCell ref="AN134:AQ134"/>
    <mergeCell ref="AP108:AQ108"/>
    <mergeCell ref="AA110:AC110"/>
    <mergeCell ref="AN115:AO115"/>
    <mergeCell ref="AN113:AO113"/>
    <mergeCell ref="AI115:AJ115"/>
    <mergeCell ref="P118:Q118"/>
    <mergeCell ref="AN90:AQ90"/>
    <mergeCell ref="AA89:AD89"/>
    <mergeCell ref="P108:U108"/>
    <mergeCell ref="AC116:AH116"/>
    <mergeCell ref="AE108:AI108"/>
    <mergeCell ref="Z118:AB118"/>
    <mergeCell ref="AP118:AQ118"/>
    <mergeCell ref="AA90:AD90"/>
    <mergeCell ref="AC108:AD108"/>
    <mergeCell ref="AI113:AJ113"/>
    <mergeCell ref="V110:Z110"/>
    <mergeCell ref="AP114:AQ114"/>
    <mergeCell ref="AP115:AQ115"/>
    <mergeCell ref="X112:Y112"/>
    <mergeCell ref="G117:I117"/>
    <mergeCell ref="J117:O117"/>
    <mergeCell ref="U117:W117"/>
    <mergeCell ref="X117:Y117"/>
    <mergeCell ref="X115:Y115"/>
    <mergeCell ref="X116:Y116"/>
    <mergeCell ref="AK118:AM118"/>
    <mergeCell ref="AI116:AJ116"/>
    <mergeCell ref="AC117:AH117"/>
    <mergeCell ref="AC118:AH118"/>
    <mergeCell ref="R115:T115"/>
    <mergeCell ref="E117:F117"/>
    <mergeCell ref="R118:T118"/>
    <mergeCell ref="AK115:AM115"/>
    <mergeCell ref="E116:F116"/>
    <mergeCell ref="R116:T116"/>
    <mergeCell ref="AN114:AO114"/>
    <mergeCell ref="AC114:AH114"/>
    <mergeCell ref="AP116:AQ116"/>
    <mergeCell ref="AK116:AM116"/>
    <mergeCell ref="J118:O118"/>
    <mergeCell ref="J115:O115"/>
    <mergeCell ref="J116:O116"/>
    <mergeCell ref="R117:T117"/>
    <mergeCell ref="U115:W115"/>
    <mergeCell ref="AN117:AO117"/>
    <mergeCell ref="AN112:AO112"/>
    <mergeCell ref="AK113:AM113"/>
    <mergeCell ref="AN116:AO116"/>
    <mergeCell ref="U112:W112"/>
    <mergeCell ref="AI117:AJ117"/>
    <mergeCell ref="U113:W113"/>
    <mergeCell ref="U114:W114"/>
    <mergeCell ref="AI112:AJ112"/>
    <mergeCell ref="AI114:AJ114"/>
    <mergeCell ref="AK114:AM114"/>
    <mergeCell ref="P115:Q115"/>
    <mergeCell ref="Z113:AB113"/>
    <mergeCell ref="AC115:AH115"/>
    <mergeCell ref="X114:Y114"/>
    <mergeCell ref="U116:W116"/>
    <mergeCell ref="X113:Y113"/>
    <mergeCell ref="R114:T114"/>
    <mergeCell ref="E113:F113"/>
    <mergeCell ref="R113:T113"/>
    <mergeCell ref="B71:B80"/>
    <mergeCell ref="G115:I115"/>
    <mergeCell ref="E112:F112"/>
    <mergeCell ref="G113:I113"/>
    <mergeCell ref="G114:I114"/>
    <mergeCell ref="G112:I112"/>
    <mergeCell ref="B92:B103"/>
    <mergeCell ref="D92:AQ92"/>
    <mergeCell ref="G116:I116"/>
    <mergeCell ref="E118:F118"/>
    <mergeCell ref="V6:AR9"/>
    <mergeCell ref="AC112:AH112"/>
    <mergeCell ref="AC113:AH113"/>
    <mergeCell ref="Z111:AQ111"/>
    <mergeCell ref="G111:Y111"/>
    <mergeCell ref="J113:O113"/>
    <mergeCell ref="R112:T112"/>
    <mergeCell ref="C6:U9"/>
    <mergeCell ref="D111:F111"/>
    <mergeCell ref="R88:U88"/>
    <mergeCell ref="R83:U83"/>
    <mergeCell ref="J112:O112"/>
    <mergeCell ref="E115:F115"/>
    <mergeCell ref="P114:Q114"/>
    <mergeCell ref="J114:O114"/>
    <mergeCell ref="P113:Q113"/>
    <mergeCell ref="E114:F114"/>
    <mergeCell ref="D107:AQ107"/>
  </mergeCells>
  <conditionalFormatting sqref="AN137:AQ137 R84:R89 V84:V89">
    <cfRule type="cellIs" priority="54" dxfId="0" operator="equal" stopIfTrue="1">
      <formula>0</formula>
    </cfRule>
  </conditionalFormatting>
  <conditionalFormatting sqref="AJ149:AQ149 AC59:AQ59 AN133:AQ133 O133 AI74:AO74 AE82:AI82 AN82:AQ82 M59:Z59 Z67:AC67 H67:U67 E113:J118 AQ65 AI67:AO67 H61:Z61 AC61:AO61 H63:AC63 H65:AC65 AI69:AO69 AI56:AO56 AI63:AO63 AI65:AO65 AB133 M46:Z46 AC46:AQ46 H48:Z48 AC48:AO48 H50:AC50 H52:AC52 AI50:AO50 H54:U54 Z54:AC54 AI52:AO52 AQ52 AI54:AO54 Z113:AC118 V108:Z108 AJ108:AM108 D84:I89">
    <cfRule type="cellIs" priority="55" dxfId="0" operator="equal" stopIfTrue="1">
      <formula>""</formula>
    </cfRule>
  </conditionalFormatting>
  <conditionalFormatting sqref="AE56:AF56 H59:J59 U113:U118 AN113:AN118 H46:J46">
    <cfRule type="cellIs" priority="56" dxfId="0" operator="equal" stopIfTrue="1">
      <formula>"Choisir…"</formula>
    </cfRule>
  </conditionalFormatting>
  <conditionalFormatting sqref="AE69:AF69 AC108:AD109">
    <cfRule type="cellIs" priority="57" dxfId="0" operator="equal" stopIfTrue="1">
      <formula>"choisir…"</formula>
    </cfRule>
  </conditionalFormatting>
  <conditionalFormatting sqref="AI76:AO76">
    <cfRule type="cellIs" priority="65" dxfId="19" operator="equal" stopIfTrue="1">
      <formula>"Choisir…"</formula>
    </cfRule>
  </conditionalFormatting>
  <conditionalFormatting sqref="P106:U106">
    <cfRule type="expression" priority="6" dxfId="39" stopIfTrue="1">
      <formula>F106="Serres-Conversion chauffage-CII- électrique"</formula>
    </cfRule>
    <cfRule type="expression" priority="33" dxfId="19" stopIfTrue="1">
      <formula>(P106)=0</formula>
    </cfRule>
    <cfRule type="cellIs" priority="39" dxfId="0" operator="equal" stopIfTrue="1">
      <formula>""</formula>
    </cfRule>
  </conditionalFormatting>
  <conditionalFormatting sqref="F106">
    <cfRule type="cellIs" priority="38" dxfId="19" operator="equal" stopIfTrue="1">
      <formula>"Choisir…"</formula>
    </cfRule>
  </conditionalFormatting>
  <conditionalFormatting sqref="AJ108:AM108">
    <cfRule type="expression" priority="37" dxfId="19" stopIfTrue="1">
      <formula>AND(MATCH(F106,Mesures,0)&lt;&gt;1,AJ108=0)</formula>
    </cfRule>
  </conditionalFormatting>
  <conditionalFormatting sqref="V108:Z108">
    <cfRule type="expression" priority="36" dxfId="19" stopIfTrue="1">
      <formula>AND(OR(MATCH(F106,Mesures,0)=2,MATCH(F106,Mesures,0)=6,MATCH(F106,Mesures,0)=7,MATCH(F106,Mesures,0)=8),V108=0)</formula>
    </cfRule>
  </conditionalFormatting>
  <conditionalFormatting sqref="AK113">
    <cfRule type="expression" priority="34" dxfId="25" stopIfTrue="1">
      <formula>"1=1"</formula>
    </cfRule>
  </conditionalFormatting>
  <conditionalFormatting sqref="AC108:AD108">
    <cfRule type="expression" priority="30" dxfId="19" stopIfTrue="1">
      <formula>AND(MATCH(F106,Mesures,0)=2,AC108=0)</formula>
    </cfRule>
  </conditionalFormatting>
  <conditionalFormatting sqref="AP108:AQ108">
    <cfRule type="cellIs" priority="29" dxfId="19" operator="equal" stopIfTrue="1">
      <formula>""</formula>
    </cfRule>
  </conditionalFormatting>
  <conditionalFormatting sqref="AC109:AD109">
    <cfRule type="expression" priority="81" dxfId="19" stopIfTrue="1">
      <formula>AND(MATCH(F108,Mesures,0)=2,AC109=0)</formula>
    </cfRule>
  </conditionalFormatting>
  <conditionalFormatting sqref="R113:T118">
    <cfRule type="expression" priority="25" dxfId="25" stopIfTrue="1">
      <formula>"1=1"</formula>
    </cfRule>
  </conditionalFormatting>
  <conditionalFormatting sqref="AK114:AK118">
    <cfRule type="expression" priority="24" dxfId="25" stopIfTrue="1">
      <formula>"1=1"</formula>
    </cfRule>
  </conditionalFormatting>
  <conditionalFormatting sqref="D152">
    <cfRule type="expression" priority="21" dxfId="19" stopIfTrue="1">
      <formula>AT152=FALSE</formula>
    </cfRule>
  </conditionalFormatting>
  <conditionalFormatting sqref="AI74:AO74">
    <cfRule type="expression" priority="5" dxfId="19" stopIfTrue="1">
      <formula>AI74=""</formula>
    </cfRule>
    <cfRule type="cellIs" priority="20" dxfId="25" operator="equal" stopIfTrue="1">
      <formula>""</formula>
    </cfRule>
  </conditionalFormatting>
  <conditionalFormatting sqref="V106:AD106">
    <cfRule type="expression" priority="14" dxfId="17" stopIfTrue="1">
      <formula>V106&lt;&gt;""</formula>
    </cfRule>
    <cfRule type="expression" priority="15" dxfId="19" stopIfTrue="1">
      <formula>(V104="TYpeSys")</formula>
    </cfRule>
    <cfRule type="expression" priority="19" dxfId="22" stopIfTrue="1">
      <formula>V104&lt;&gt;"TypeSys"</formula>
    </cfRule>
  </conditionalFormatting>
  <conditionalFormatting sqref="D108:O108">
    <cfRule type="expression" priority="13" dxfId="17" stopIfTrue="1">
      <formula>V104="TypeSys"</formula>
    </cfRule>
  </conditionalFormatting>
  <conditionalFormatting sqref="E124:AQ128">
    <cfRule type="cellIs" priority="10" dxfId="17" operator="equal" stopIfTrue="1">
      <formula>""</formula>
    </cfRule>
  </conditionalFormatting>
  <conditionalFormatting sqref="AA121:AE121">
    <cfRule type="cellIs" priority="9" dxfId="19" operator="equal" stopIfTrue="1">
      <formula>""</formula>
    </cfRule>
  </conditionalFormatting>
  <conditionalFormatting sqref="AN121:AQ121">
    <cfRule type="cellIs" priority="8" dxfId="17" operator="equal" stopIfTrue="1">
      <formula>""</formula>
    </cfRule>
  </conditionalFormatting>
  <conditionalFormatting sqref="D129">
    <cfRule type="cellIs" priority="7" dxfId="17" operator="equal" stopIfTrue="1">
      <formula>""</formula>
    </cfRule>
  </conditionalFormatting>
  <conditionalFormatting sqref="Z15:AD15 H11:AD11 H13:AD13 H15:U15 AL13:AQ13 AL15:AQ15 M20:Z20 Z28:AC28 H22:Z22 AC22:AO22 H24:AC24 H26:AC26 AI24:AO24 AI26:AO26 AI28:AO28 AQ26 AC20:AQ20 H28:U28 M35:Z35 AC35:AQ35 H37:Z37 AC37:AO37 H39:AC39 AI39:AO39 H41:AC41 AI41:AO41 H43:U43 Z43:AC43 AI43:AO43 AQ41">
    <cfRule type="cellIs" priority="3" dxfId="0" operator="equal" stopIfTrue="1">
      <formula>""</formula>
    </cfRule>
  </conditionalFormatting>
  <conditionalFormatting sqref="H20:J20 H35:J35">
    <cfRule type="cellIs" priority="4" dxfId="0" operator="equal" stopIfTrue="1">
      <formula>"Choisir…"</formula>
    </cfRule>
  </conditionalFormatting>
  <conditionalFormatting sqref="Z76:AC76 H72:AC72 H74:AC74 H76:U76">
    <cfRule type="cellIs" priority="2" dxfId="0" operator="equal" stopIfTrue="1">
      <formula>""</formula>
    </cfRule>
  </conditionalFormatting>
  <conditionalFormatting sqref="AI72:AO72">
    <cfRule type="cellIs" priority="1" dxfId="0" operator="equal" stopIfTrue="1">
      <formula>""</formula>
    </cfRule>
  </conditionalFormatting>
  <dataValidations count="15">
    <dataValidation type="list" allowBlank="1" showInputMessage="1" showErrorMessage="1" sqref="H59 H46">
      <formula1>Appel</formula1>
    </dataValidation>
    <dataValidation type="list" allowBlank="1" showInputMessage="1" showErrorMessage="1" sqref="AE56:AF56 AE69:AF69">
      <formula1>Ordre</formula1>
    </dataValidation>
    <dataValidation type="list" allowBlank="1" showInputMessage="1" showErrorMessage="1" sqref="D85:I89">
      <formula1>Énergie</formula1>
    </dataValidation>
    <dataValidation type="list" allowBlank="1" showInputMessage="1" showErrorMessage="1" sqref="J113:J118 AC113:AC118">
      <formula1>PRP</formula1>
    </dataValidation>
    <dataValidation type="list" allowBlank="1" showInputMessage="1" showErrorMessage="1" sqref="U113:U118 AN113:AN118">
      <formula1>Unite</formula1>
    </dataValidation>
    <dataValidation type="list" allowBlank="1" showInputMessage="1" showErrorMessage="1" sqref="E113:F118">
      <formula1>Type_sys</formula1>
    </dataValidation>
    <dataValidation errorStyle="information" type="textLength" operator="equal" allowBlank="1" showInputMessage="1" showErrorMessage="1" promptTitle="Code Postal" prompt="Le code postal doit contenir 7 caractères dont un espace au 4e caractère." errorTitle="Code postal" error="Le code postal doit contenir 7 caractères dont un espace au 4e caractère." sqref="Z43:AC43 Z67:AC67 Z54:AC54 Z15:AD15 Z28:AC28 Z76:AC76">
      <formula1>7</formula1>
    </dataValidation>
    <dataValidation type="list" allowBlank="1" showInputMessage="1" showErrorMessage="1" sqref="AC108:AD109 M123:N123">
      <formula1>Unite_Surface</formula1>
    </dataValidation>
    <dataValidation type="list" allowBlank="1" showInputMessage="1" showErrorMessage="1" sqref="AP109:AQ109">
      <formula1>INDIRECT('1. Demande'!#REF!)</formula1>
    </dataValidation>
    <dataValidation type="list" allowBlank="1" showInputMessage="1" showErrorMessage="1" sqref="AA121:AE121">
      <formula1>Localisation</formula1>
    </dataValidation>
    <dataValidation type="list" allowBlank="1" showInputMessage="1" showErrorMessage="1" sqref="H124:L128">
      <formula1>Recouvrement</formula1>
    </dataValidation>
    <dataValidation type="list" allowBlank="1" showInputMessage="1" showErrorMessage="1" sqref="O124:W128">
      <formula1>Usages</formula1>
    </dataValidation>
    <dataValidation type="list" allowBlank="1" showInputMessage="1" showErrorMessage="1" sqref="X124:Z128">
      <formula1>NRJRemplace</formula1>
    </dataValidation>
    <dataValidation type="list" allowBlank="1" showInputMessage="1" showErrorMessage="1" sqref="AJ124:AO128">
      <formula1>Type_Prod</formula1>
    </dataValidation>
    <dataValidation type="list" allowBlank="1" showInputMessage="1" showErrorMessage="1" sqref="D129">
      <formula1>Chauffe_min</formula1>
    </dataValidation>
  </dataValidations>
  <printOptions horizontalCentered="1"/>
  <pageMargins left="0.3937007874015748" right="0.3937007874015748" top="0.3937007874015748" bottom="0.3937007874015748" header="0.23622047244094488" footer="0.15748031496062992"/>
  <pageSetup fitToHeight="0" horizontalDpi="600" verticalDpi="600" orientation="portrait" paperSize="5" scale="78" r:id="rId3"/>
  <headerFooter alignWithMargins="0">
    <oddFooter>&amp;LMinistère de l’Énergie et des Ressources naturelles&amp;CÉcoPerformance&amp;RFormulaire de demande d'aide financière</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Feuil4">
    <tabColor rgb="FF00B050"/>
    <pageSetUpPr fitToPage="1"/>
  </sheetPr>
  <dimension ref="A5:BD59"/>
  <sheetViews>
    <sheetView showGridLines="0" showRowColHeaders="0" showOutlineSymbols="0" zoomScalePageLayoutView="0" workbookViewId="0" topLeftCell="Q4">
      <selection activeCell="H38" sqref="H38"/>
    </sheetView>
  </sheetViews>
  <sheetFormatPr defaultColWidth="11.421875" defaultRowHeight="12.75"/>
  <cols>
    <col min="1" max="1" width="8.7109375" style="0" customWidth="1"/>
    <col min="2" max="2" width="29.8515625" style="0" customWidth="1"/>
    <col min="3" max="3" width="10.57421875" style="0" customWidth="1"/>
    <col min="4" max="4" width="16.8515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10.00390625" style="0" customWidth="1"/>
    <col min="28" max="28" width="20.421875" style="0" customWidth="1"/>
    <col min="29" max="29" width="9.421875" style="0" customWidth="1"/>
    <col min="30" max="30" width="5.7109375" style="0" customWidth="1"/>
    <col min="31" max="31" width="5.421875" style="0" customWidth="1"/>
    <col min="32" max="32" width="6.00390625" style="0" customWidth="1"/>
    <col min="33" max="33" width="6.00390625" style="0" hidden="1" customWidth="1"/>
    <col min="34" max="34" width="10.57421875" style="192" hidden="1" customWidth="1"/>
    <col min="35" max="35" width="16.57421875" style="192" hidden="1" customWidth="1"/>
    <col min="36" max="36" width="13.7109375" style="192" hidden="1" customWidth="1"/>
    <col min="37" max="38" width="14.140625" style="192" hidden="1" customWidth="1"/>
    <col min="39" max="39" width="14.28125" style="192" hidden="1" customWidth="1"/>
    <col min="40" max="40" width="11.421875" style="192" hidden="1" customWidth="1"/>
    <col min="41" max="41" width="11.57421875" style="192" hidden="1" customWidth="1"/>
    <col min="42" max="42" width="12.8515625" style="192" hidden="1" customWidth="1"/>
    <col min="43" max="43" width="9.8515625" style="192" hidden="1" customWidth="1"/>
    <col min="44" max="44" width="20.140625" style="192" hidden="1" customWidth="1"/>
  </cols>
  <sheetData>
    <row r="2" ht="18.75" customHeight="1"/>
    <row r="3" ht="18" customHeight="1"/>
    <row r="4" ht="12.75" customHeight="1"/>
    <row r="5" ht="15.75">
      <c r="A5" s="38" t="s">
        <v>153</v>
      </c>
    </row>
    <row r="6" ht="15.75">
      <c r="A6" s="38"/>
    </row>
    <row r="7" spans="1:33" ht="15.75">
      <c r="A7" s="38"/>
      <c r="U7" s="31"/>
      <c r="V7" s="30"/>
      <c r="W7" s="30"/>
      <c r="X7" s="30"/>
      <c r="Y7" s="30"/>
      <c r="Z7" s="30"/>
      <c r="AA7" s="30"/>
      <c r="AB7" s="32"/>
      <c r="AC7" s="32"/>
      <c r="AD7" s="32"/>
      <c r="AE7" s="30"/>
      <c r="AF7" s="30"/>
      <c r="AG7" s="30"/>
    </row>
    <row r="8" spans="1:33" ht="12.75">
      <c r="A8" s="255"/>
      <c r="B8" s="41" t="s">
        <v>146</v>
      </c>
      <c r="C8" s="981">
        <f>IF('1. Demande'!H11="","",'1. Demande'!H11)</f>
      </c>
      <c r="D8" s="981"/>
      <c r="E8" s="981"/>
      <c r="F8" s="981"/>
      <c r="G8" s="981"/>
      <c r="S8" s="30"/>
      <c r="AA8" s="41" t="s">
        <v>147</v>
      </c>
      <c r="AB8" s="985" t="str">
        <f>CONCATENATE(IF('1. Demande'!M35="","",'1. Demande'!M35)," ",IF('1. Demande'!AC35="","",'1. Demande'!AC35))</f>
        <v> </v>
      </c>
      <c r="AC8" s="985"/>
      <c r="AD8" s="985"/>
      <c r="AE8" s="985"/>
      <c r="AF8" s="985"/>
      <c r="AG8" s="257"/>
    </row>
    <row r="9" spans="1:31" ht="12.75">
      <c r="A9" s="255"/>
      <c r="B9" s="41" t="s">
        <v>110</v>
      </c>
      <c r="C9" s="867"/>
      <c r="D9" s="867"/>
      <c r="J9" s="33"/>
      <c r="AA9" s="41" t="s">
        <v>465</v>
      </c>
      <c r="AB9" s="867"/>
      <c r="AC9" s="867"/>
      <c r="AD9" s="33"/>
      <c r="AE9" s="33"/>
    </row>
    <row r="10" spans="7:30" ht="12.75">
      <c r="G10" s="31"/>
      <c r="H10" s="31"/>
      <c r="M10" s="33"/>
      <c r="N10" s="33"/>
      <c r="O10" s="33"/>
      <c r="T10" s="30"/>
      <c r="U10" s="30"/>
      <c r="AB10" s="34"/>
      <c r="AC10" s="34"/>
      <c r="AD10" s="34"/>
    </row>
    <row r="11" spans="1:44" s="97" customFormat="1" ht="21" customHeight="1">
      <c r="A11" s="256" t="s">
        <v>148</v>
      </c>
      <c r="B11" s="152"/>
      <c r="C11" s="151"/>
      <c r="D11" s="151"/>
      <c r="E11" s="151"/>
      <c r="F11" s="152"/>
      <c r="G11" s="152"/>
      <c r="H11" s="152"/>
      <c r="I11" s="152"/>
      <c r="J11" s="152"/>
      <c r="K11" s="152"/>
      <c r="L11" s="152"/>
      <c r="M11" s="152"/>
      <c r="N11" s="152"/>
      <c r="O11" s="152"/>
      <c r="P11" s="152"/>
      <c r="Q11" s="152"/>
      <c r="R11" s="152"/>
      <c r="S11" s="152"/>
      <c r="T11" s="152"/>
      <c r="U11" s="152"/>
      <c r="V11" s="152"/>
      <c r="W11" s="152"/>
      <c r="X11" s="152"/>
      <c r="Y11" s="152"/>
      <c r="Z11" s="152"/>
      <c r="AA11" s="152"/>
      <c r="AB11" s="153"/>
      <c r="AC11" s="1001" t="s">
        <v>155</v>
      </c>
      <c r="AD11" s="1002"/>
      <c r="AE11" s="1002"/>
      <c r="AF11" s="1003"/>
      <c r="AG11" s="258"/>
      <c r="AH11" s="194"/>
      <c r="AI11" s="194"/>
      <c r="AJ11" s="194"/>
      <c r="AK11" s="194"/>
      <c r="AL11" s="194"/>
      <c r="AM11" s="194"/>
      <c r="AN11" s="194"/>
      <c r="AO11" s="194"/>
      <c r="AP11" s="194"/>
      <c r="AQ11" s="194"/>
      <c r="AR11" s="194"/>
    </row>
    <row r="12" spans="1:44" s="97" customFormat="1" ht="35.25" customHeight="1">
      <c r="A12" s="986" t="s">
        <v>162</v>
      </c>
      <c r="B12" s="982" t="s">
        <v>126</v>
      </c>
      <c r="C12" s="982" t="s">
        <v>254</v>
      </c>
      <c r="D12" s="982" t="s">
        <v>255</v>
      </c>
      <c r="E12" s="986" t="s">
        <v>259</v>
      </c>
      <c r="F12" s="1006" t="s">
        <v>248</v>
      </c>
      <c r="G12" s="1011"/>
      <c r="H12" s="1011"/>
      <c r="I12" s="1011"/>
      <c r="J12" s="1011"/>
      <c r="K12" s="1012"/>
      <c r="L12" s="992" t="s">
        <v>154</v>
      </c>
      <c r="M12" s="992"/>
      <c r="N12" s="992"/>
      <c r="O12" s="992"/>
      <c r="P12" s="991"/>
      <c r="Q12" s="990" t="s">
        <v>127</v>
      </c>
      <c r="R12" s="992"/>
      <c r="S12" s="992"/>
      <c r="T12" s="991"/>
      <c r="U12" s="1006" t="s">
        <v>250</v>
      </c>
      <c r="V12" s="1007"/>
      <c r="W12" s="990" t="s">
        <v>453</v>
      </c>
      <c r="X12" s="991"/>
      <c r="Y12" s="993" t="s">
        <v>454</v>
      </c>
      <c r="Z12" s="993" t="s">
        <v>107</v>
      </c>
      <c r="AA12" s="997" t="s">
        <v>455</v>
      </c>
      <c r="AB12" s="982" t="s">
        <v>128</v>
      </c>
      <c r="AC12" s="997" t="s">
        <v>450</v>
      </c>
      <c r="AD12" s="993" t="s">
        <v>129</v>
      </c>
      <c r="AE12" s="993" t="s">
        <v>36</v>
      </c>
      <c r="AF12" s="993" t="s">
        <v>37</v>
      </c>
      <c r="AG12" s="259"/>
      <c r="AH12" s="194"/>
      <c r="AI12" s="194"/>
      <c r="AJ12" s="194"/>
      <c r="AK12" s="194"/>
      <c r="AL12" s="194"/>
      <c r="AM12" s="194"/>
      <c r="AN12" s="194"/>
      <c r="AO12" s="194"/>
      <c r="AP12" s="194"/>
      <c r="AQ12" s="194"/>
      <c r="AR12" s="194"/>
    </row>
    <row r="13" spans="1:52" s="97" customFormat="1" ht="12.75" customHeight="1">
      <c r="A13" s="1008"/>
      <c r="B13" s="1009"/>
      <c r="C13" s="983"/>
      <c r="D13" s="983"/>
      <c r="E13" s="983"/>
      <c r="F13" s="1010" t="s">
        <v>258</v>
      </c>
      <c r="G13" s="988" t="s">
        <v>120</v>
      </c>
      <c r="H13" s="986" t="s">
        <v>911</v>
      </c>
      <c r="I13" s="1010" t="s">
        <v>106</v>
      </c>
      <c r="J13" s="986" t="s">
        <v>151</v>
      </c>
      <c r="K13" s="982" t="s">
        <v>928</v>
      </c>
      <c r="L13" s="982" t="s">
        <v>106</v>
      </c>
      <c r="M13" s="982" t="s">
        <v>157</v>
      </c>
      <c r="N13" s="982" t="s">
        <v>130</v>
      </c>
      <c r="O13" s="982" t="s">
        <v>909</v>
      </c>
      <c r="P13" s="982" t="s">
        <v>910</v>
      </c>
      <c r="Q13" s="990" t="s">
        <v>131</v>
      </c>
      <c r="R13" s="992"/>
      <c r="S13" s="991"/>
      <c r="T13" s="982" t="s">
        <v>132</v>
      </c>
      <c r="U13" s="982" t="s">
        <v>133</v>
      </c>
      <c r="V13" s="986" t="s">
        <v>452</v>
      </c>
      <c r="W13" s="986" t="s">
        <v>134</v>
      </c>
      <c r="X13" s="986" t="s">
        <v>135</v>
      </c>
      <c r="Y13" s="998"/>
      <c r="Z13" s="1004"/>
      <c r="AA13" s="998"/>
      <c r="AB13" s="983"/>
      <c r="AC13" s="998"/>
      <c r="AD13" s="994"/>
      <c r="AE13" s="994"/>
      <c r="AF13" s="994"/>
      <c r="AG13" s="259"/>
      <c r="AH13" s="194"/>
      <c r="AI13" s="194"/>
      <c r="AJ13" s="194"/>
      <c r="AK13" s="194"/>
      <c r="AL13" s="194"/>
      <c r="AM13" s="194"/>
      <c r="AN13" s="194"/>
      <c r="AO13" s="194"/>
      <c r="AP13" s="194"/>
      <c r="AQ13" s="194"/>
      <c r="AR13" s="194"/>
      <c r="AX13" s="321" t="s">
        <v>1027</v>
      </c>
      <c r="AY13" s="321" t="s">
        <v>1028</v>
      </c>
      <c r="AZ13" s="321" t="s">
        <v>1029</v>
      </c>
    </row>
    <row r="14" spans="1:44" s="97" customFormat="1" ht="21.75" customHeight="1">
      <c r="A14" s="987"/>
      <c r="B14" s="996"/>
      <c r="C14" s="984"/>
      <c r="D14" s="984"/>
      <c r="E14" s="984"/>
      <c r="F14" s="1000"/>
      <c r="G14" s="989"/>
      <c r="H14" s="1000"/>
      <c r="I14" s="987"/>
      <c r="J14" s="987"/>
      <c r="K14" s="984"/>
      <c r="L14" s="984"/>
      <c r="M14" s="984"/>
      <c r="N14" s="984"/>
      <c r="O14" s="984"/>
      <c r="P14" s="984"/>
      <c r="Q14" s="154" t="s">
        <v>251</v>
      </c>
      <c r="R14" s="154" t="s">
        <v>252</v>
      </c>
      <c r="S14" s="154" t="s">
        <v>253</v>
      </c>
      <c r="T14" s="996"/>
      <c r="U14" s="996"/>
      <c r="V14" s="987"/>
      <c r="W14" s="1000"/>
      <c r="X14" s="1000"/>
      <c r="Y14" s="999"/>
      <c r="Z14" s="1005"/>
      <c r="AA14" s="999"/>
      <c r="AB14" s="984"/>
      <c r="AC14" s="999"/>
      <c r="AD14" s="995"/>
      <c r="AE14" s="995"/>
      <c r="AF14" s="994"/>
      <c r="AG14" s="259"/>
      <c r="AH14" s="194"/>
      <c r="AI14" s="194"/>
      <c r="AJ14" s="194"/>
      <c r="AK14" s="194"/>
      <c r="AL14" s="194"/>
      <c r="AM14" s="194"/>
      <c r="AN14" s="194"/>
      <c r="AO14" s="194"/>
      <c r="AP14" s="194"/>
      <c r="AQ14" s="194"/>
      <c r="AR14" s="194"/>
    </row>
    <row r="15" spans="1:44" s="97" customFormat="1" ht="21.75" customHeight="1" hidden="1">
      <c r="A15" s="183" t="s">
        <v>755</v>
      </c>
      <c r="B15" s="184" t="s">
        <v>126</v>
      </c>
      <c r="C15" s="182" t="s">
        <v>254</v>
      </c>
      <c r="D15" s="182" t="s">
        <v>255</v>
      </c>
      <c r="E15" s="182" t="s">
        <v>754</v>
      </c>
      <c r="F15" s="154" t="s">
        <v>756</v>
      </c>
      <c r="G15" s="189" t="s">
        <v>757</v>
      </c>
      <c r="H15" s="189" t="s">
        <v>912</v>
      </c>
      <c r="I15" s="183" t="s">
        <v>760</v>
      </c>
      <c r="J15" s="183" t="s">
        <v>758</v>
      </c>
      <c r="K15" s="182" t="s">
        <v>759</v>
      </c>
      <c r="L15" s="182" t="s">
        <v>761</v>
      </c>
      <c r="M15" s="182" t="s">
        <v>762</v>
      </c>
      <c r="N15" s="182" t="s">
        <v>197</v>
      </c>
      <c r="O15" s="182" t="s">
        <v>244</v>
      </c>
      <c r="P15" s="182" t="s">
        <v>763</v>
      </c>
      <c r="Q15" s="154" t="s">
        <v>764</v>
      </c>
      <c r="R15" s="154" t="s">
        <v>765</v>
      </c>
      <c r="S15" s="154" t="s">
        <v>766</v>
      </c>
      <c r="T15" s="184" t="s">
        <v>767</v>
      </c>
      <c r="U15" s="184" t="s">
        <v>768</v>
      </c>
      <c r="V15" s="183" t="s">
        <v>769</v>
      </c>
      <c r="W15" s="154" t="s">
        <v>770</v>
      </c>
      <c r="X15" s="154" t="s">
        <v>771</v>
      </c>
      <c r="Y15" s="188" t="s">
        <v>158</v>
      </c>
      <c r="Z15" s="187" t="s">
        <v>772</v>
      </c>
      <c r="AA15" s="188" t="s">
        <v>773</v>
      </c>
      <c r="AB15" s="182" t="s">
        <v>128</v>
      </c>
      <c r="AC15" s="188" t="s">
        <v>774</v>
      </c>
      <c r="AD15" s="186" t="s">
        <v>776</v>
      </c>
      <c r="AE15" s="186" t="s">
        <v>914</v>
      </c>
      <c r="AF15" s="185" t="s">
        <v>777</v>
      </c>
      <c r="AG15" s="186" t="s">
        <v>775</v>
      </c>
      <c r="AH15" s="194" t="s">
        <v>778</v>
      </c>
      <c r="AI15" s="194" t="s">
        <v>779</v>
      </c>
      <c r="AJ15" s="194" t="s">
        <v>780</v>
      </c>
      <c r="AK15" s="194" t="s">
        <v>781</v>
      </c>
      <c r="AL15" s="194" t="s">
        <v>82</v>
      </c>
      <c r="AM15" s="194" t="s">
        <v>782</v>
      </c>
      <c r="AN15" s="194" t="s">
        <v>783</v>
      </c>
      <c r="AO15" s="194" t="s">
        <v>784</v>
      </c>
      <c r="AP15" t="s">
        <v>86</v>
      </c>
      <c r="AQ15" t="s">
        <v>702</v>
      </c>
      <c r="AR15" t="s">
        <v>336</v>
      </c>
    </row>
    <row r="16" spans="1:47" ht="15.75" customHeight="1">
      <c r="A16" s="274" t="e">
        <f>IF(MATCH('1. Demande'!F106,Mesures,0)&lt;&gt;2,"",1)</f>
        <v>#N/A</v>
      </c>
      <c r="B16" s="275" t="s">
        <v>954</v>
      </c>
      <c r="C16" s="275" t="s">
        <v>896</v>
      </c>
      <c r="D16" s="275" t="s">
        <v>897</v>
      </c>
      <c r="E16" s="275" t="s">
        <v>904</v>
      </c>
      <c r="F16" s="275" t="s">
        <v>365</v>
      </c>
      <c r="G16" s="146" t="str">
        <f aca="true" ca="1" t="shared" si="0" ref="G16:G49">IF(F16="","",IF(OR($E16="choisir…",$E16="Aucun"),"",INDEX(OFFSET(INDIRECT($E16),,1),MATCH($F16,INDIRECT($E16),0))))</f>
        <v>kg</v>
      </c>
      <c r="H16" s="276"/>
      <c r="I16" s="277" t="e">
        <f>L16</f>
        <v>#N/A</v>
      </c>
      <c r="J16" s="275"/>
      <c r="K16" s="278"/>
      <c r="L16" s="277" t="e">
        <f>IF(MATCH('1. Demande'!F106,Mesures,0)&lt;&gt;2,0,12.672*SUM('1. Demande'!Z113:Z118)*0.15)</f>
        <v>#N/A</v>
      </c>
      <c r="M16" s="164">
        <v>33.25</v>
      </c>
      <c r="N16" s="290" t="e">
        <f>M16*L16</f>
        <v>#N/A</v>
      </c>
      <c r="O16" s="147" t="e">
        <f ca="1">IF(MATCH('1. Demande'!F106,Mesures,0)&lt;&gt;2,0,IF(L16="","",IF(OR(E16&lt;&gt;"Énergie",F16=""),0,INDEX(OFFSET(INDIRECT($E16),,2),MATCH($F16,INDIRECT($E16),0)))*L16/1000*IF(AND(E16="Énergie",F16&lt;&gt;""),IF(AND(INDEX(OFFSET(Énergie,,8,,),MATCH(F16,Énergie,0))=1,H16&lt;&gt;""),IF(H16=1,0,1-1.1676*H16),IF(AND(INDEX(OFFSET(Énergie,,8,,),MATCH(F16,Énergie,0))=2,H16&lt;&gt;""),1-H16,1)),1)))</f>
        <v>#N/A</v>
      </c>
      <c r="P16" s="148" t="e">
        <f ca="1">IF(MATCH('1. Demande'!F106,Mesures,0)&lt;&gt;2,0,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#N/A</v>
      </c>
      <c r="Q16" s="290">
        <v>0</v>
      </c>
      <c r="R16" s="290" t="e">
        <f>S16</f>
        <v>#N/A</v>
      </c>
      <c r="S16" s="290" t="e">
        <f>IF(MATCH('1. Demande'!F106,Mesures,0)&lt;&gt;2,0,12526*SUM('1. Demande'!Z113:Z118)+267549)</f>
        <v>#N/A</v>
      </c>
      <c r="T16" s="295" t="e">
        <f>S16-U16</f>
        <v>#N/A</v>
      </c>
      <c r="U16" s="290" t="e">
        <f>IF(MATCH('1. Demande'!F106,Mesures,0)&lt;&gt;2,0,IF(SUM(P16:P18)*25*10&lt;AU16,AU16,MIN(SUM(P16:P18)*25*10,100000)))</f>
        <v>#N/A</v>
      </c>
      <c r="V16" s="274" t="s">
        <v>1059</v>
      </c>
      <c r="W16" s="279" t="e">
        <f>IF(MATCH('1. Demande'!F106,Mesures,0)&lt;&gt;2,0,S16/(SUM(N16:N18)))</f>
        <v>#N/A</v>
      </c>
      <c r="X16" s="279" t="e">
        <f>IF(MATCH('1. Demande'!F106,Mesures,0)&lt;&gt;2,0,T16/SUM(N16:N18))</f>
        <v>#N/A</v>
      </c>
      <c r="Y16" s="280">
        <v>10</v>
      </c>
      <c r="Z16" s="280">
        <v>15</v>
      </c>
      <c r="AA16" s="274" t="s">
        <v>691</v>
      </c>
      <c r="AB16" s="274"/>
      <c r="AC16" s="274" t="s">
        <v>687</v>
      </c>
      <c r="AD16" s="275"/>
      <c r="AE16" s="274" t="s">
        <v>915</v>
      </c>
      <c r="AF16" s="275"/>
      <c r="AG16" s="260" t="b">
        <f aca="true" ca="1" t="shared" si="1" ref="AG16:AG49">INDEX(OFFSET(Aide_dem,,1,,),MATCH(AE16,Aide_dem,0))</f>
        <v>1</v>
      </c>
      <c r="AH16" s="192">
        <f>IF(C16&lt;&gt;"Choisir…",9,"")</f>
        <v>9</v>
      </c>
      <c r="AI16" s="289" t="s">
        <v>961</v>
      </c>
      <c r="AJ16" s="192">
        <f aca="true" ca="1" t="shared" si="2" ref="AJ16:AJ49">IF(E16&lt;&gt;"Choisir…",INDEX(OFFSET(Type_emission,,-1,,),MATCH(E16,Type_emission,0)),"")</f>
        <v>2</v>
      </c>
      <c r="AK16" s="192">
        <f aca="true" ca="1" t="shared" si="3" ref="AK16:AK49">IF(F16="","",INDEX(OFFSET(IF(E16="Énergie",Énergie,IF(E16="Fugitive",PRP,"")),,-1,,),MATCH(F16,IF(E16="Énergie",Énergie,IF(E16="Fugitive",PRP,"")),0)))</f>
        <v>10</v>
      </c>
      <c r="AL16" s="192" t="e">
        <f aca="true" ca="1" t="shared" si="4" ref="AL16:AL49">IF(AND(E16="Énergie",F16&lt;&gt;""),INDEX(OFFSET(Énergie,,22,,),MATCH(F16,Énergie,0)),0)*L16</f>
        <v>#N/A</v>
      </c>
      <c r="AM16" s="192">
        <f aca="true" ca="1" t="shared" si="5" ref="AM16:AM49">IF(V16&lt;&gt;"Choisir…",INDEX(OFFSET(Fin_Autre,,-1,,),MATCH(V16,Fin_Autre,0)),"")</f>
        <v>1</v>
      </c>
      <c r="AN16" s="192" t="str">
        <f aca="true" ca="1" t="shared" si="6" ref="AN16:AN49">IF(AA16&lt;&gt;"Choisir…",INDEX(OFFSET(Recom,,-1,,),MATCH(AA16,Recom,0)),"")</f>
        <v>I</v>
      </c>
      <c r="AO16" s="192">
        <f aca="true" ca="1" t="shared" si="7" ref="AO16:AO49">IF(AC16&lt;&gt;"Choisir…",INDEX(OFFSET(Action,,-1,,),MATCH(AC16,Action,0)),"")</f>
        <v>1</v>
      </c>
      <c r="AP16" s="192" t="b">
        <v>0</v>
      </c>
      <c r="AQ16" s="273" t="s">
        <v>481</v>
      </c>
      <c r="AR16" s="288" t="s">
        <v>75</v>
      </c>
      <c r="AU16" t="e">
        <f ca="1">INDEX(OFFSET(Mesures,,1,,),MATCH('1. Demande'!F106,Mesures,0))</f>
        <v>#N/A</v>
      </c>
    </row>
    <row r="17" spans="1:44" ht="15.75" customHeight="1">
      <c r="A17" s="274" t="e">
        <f>IF(MATCH('1. Demande'!F106,Mesures,0)&lt;&gt;2,"",1)</f>
        <v>#N/A</v>
      </c>
      <c r="B17" s="275" t="s">
        <v>954</v>
      </c>
      <c r="C17" s="275" t="s">
        <v>896</v>
      </c>
      <c r="D17" s="275" t="s">
        <v>897</v>
      </c>
      <c r="E17" s="275" t="s">
        <v>904</v>
      </c>
      <c r="F17" s="275" t="s">
        <v>813</v>
      </c>
      <c r="G17" s="146" t="str">
        <f ca="1" t="shared" si="0"/>
        <v>kg</v>
      </c>
      <c r="H17" s="276"/>
      <c r="I17" s="277">
        <v>0</v>
      </c>
      <c r="J17" s="275"/>
      <c r="K17" s="278"/>
      <c r="L17" s="293" t="e">
        <f>IF(MATCH('1. Demande'!F106,Mesures,0)&lt;&gt;2,0,-(7.5686*SUM('1. Demande'!Z113:Z118)+528.91)*0.15)</f>
        <v>#N/A</v>
      </c>
      <c r="M17" s="164">
        <v>5</v>
      </c>
      <c r="N17" s="290" t="e">
        <f>M17*L17</f>
        <v>#N/A</v>
      </c>
      <c r="O17" s="147" t="e">
        <f ca="1">IF(MATCH('1. Demande'!F106,Mesures,0)&lt;&gt;2,0,IF(L17="","",IF(OR(E17&lt;&gt;"Énergie",F17=""),0,INDEX(OFFSET(INDIRECT($E17),,2),MATCH($F17,INDIRECT($E17),0)))*L17/1000*IF(AND(E17="Énergie",F17&lt;&gt;""),IF(AND(INDEX(OFFSET(Énergie,,8,,),MATCH(F17,Énergie,0))=1,H17&lt;&gt;""),IF(H17=1,0,1-1.1676*H17),IF(AND(INDEX(OFFSET(Énergie,,8,,),MATCH(F17,Énergie,0))=2,H17&lt;&gt;""),1-H17,1)),1)))</f>
        <v>#N/A</v>
      </c>
      <c r="P17" s="148" t="e">
        <f ca="1">IF(MATCH('1. Demande'!F106,Mesures,0)&lt;&gt;2,0,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#N/A</v>
      </c>
      <c r="Q17" s="290">
        <v>0</v>
      </c>
      <c r="R17" s="290">
        <v>0</v>
      </c>
      <c r="S17" s="290">
        <v>0</v>
      </c>
      <c r="T17" s="295"/>
      <c r="U17" s="290"/>
      <c r="V17" s="274" t="s">
        <v>184</v>
      </c>
      <c r="W17" s="279"/>
      <c r="X17" s="279"/>
      <c r="Y17" s="280">
        <v>10</v>
      </c>
      <c r="Z17" s="280">
        <v>15</v>
      </c>
      <c r="AA17" s="274" t="s">
        <v>691</v>
      </c>
      <c r="AB17" s="274"/>
      <c r="AC17" s="274" t="s">
        <v>687</v>
      </c>
      <c r="AD17" s="275"/>
      <c r="AE17" s="274" t="s">
        <v>915</v>
      </c>
      <c r="AF17" s="275"/>
      <c r="AG17" s="260" t="b">
        <f ca="1" t="shared" si="1"/>
        <v>1</v>
      </c>
      <c r="AH17" s="192">
        <f aca="true" t="shared" si="8" ref="AH17:AH49">IF(C17&lt;&gt;"Choisir…",9,"")</f>
        <v>9</v>
      </c>
      <c r="AI17" s="289" t="s">
        <v>961</v>
      </c>
      <c r="AJ17" s="192">
        <f ca="1" t="shared" si="2"/>
        <v>2</v>
      </c>
      <c r="AK17" s="192">
        <f ca="1" t="shared" si="3"/>
        <v>1</v>
      </c>
      <c r="AL17" s="192" t="e">
        <f ca="1" t="shared" si="4"/>
        <v>#N/A</v>
      </c>
      <c r="AM17" s="192">
        <f ca="1" t="shared" si="5"/>
      </c>
      <c r="AN17" s="192" t="str">
        <f ca="1" t="shared" si="6"/>
        <v>I</v>
      </c>
      <c r="AO17" s="192">
        <f ca="1" t="shared" si="7"/>
        <v>1</v>
      </c>
      <c r="AP17" s="192" t="b">
        <v>0</v>
      </c>
      <c r="AQ17" s="273" t="s">
        <v>481</v>
      </c>
      <c r="AR17" s="288" t="s">
        <v>75</v>
      </c>
    </row>
    <row r="18" spans="1:44" ht="15.75" customHeight="1">
      <c r="A18" s="274" t="e">
        <f>IF(MATCH('1. Demande'!F106,Mesures,0)&lt;&gt;2,"",1)</f>
        <v>#N/A</v>
      </c>
      <c r="B18" s="275" t="s">
        <v>954</v>
      </c>
      <c r="C18" s="275" t="s">
        <v>896</v>
      </c>
      <c r="D18" s="275" t="s">
        <v>897</v>
      </c>
      <c r="E18" s="275" t="s">
        <v>249</v>
      </c>
      <c r="F18" s="275" t="s">
        <v>283</v>
      </c>
      <c r="G18" s="146" t="str">
        <f ca="1" t="shared" si="0"/>
        <v>kWh</v>
      </c>
      <c r="H18" s="276"/>
      <c r="I18" s="277" t="e">
        <f ca="1">IF(MATCH('1. Demande'!F106,Mesures,0)&lt;&gt;2,0,242.86*'1. Demande'!V108*INDEX(OFFSET(Unite_Surface,,1,,),MATCH('1. Demande'!AC108,Unite_Surface,0))+945923)</f>
        <v>#N/A</v>
      </c>
      <c r="J18" s="275"/>
      <c r="K18" s="278"/>
      <c r="L18" s="277" t="e">
        <f>IF(MATCH('1. Demande'!F106,Mesures,0)&lt;&gt;2,0,(763.12*SUM('1. Demande'!Z113:Z118)+61590)*0.5)</f>
        <v>#N/A</v>
      </c>
      <c r="M18" s="164">
        <v>0.08</v>
      </c>
      <c r="N18" s="290" t="e">
        <f>M18*L18</f>
        <v>#N/A</v>
      </c>
      <c r="O18" s="147" t="e">
        <f ca="1">IF(MATCH('1. Demande'!F106,Mesures,0)&lt;&gt;2,0,IF(L18="","",IF(OR(E18&lt;&gt;"Énergie",F18=""),0,INDEX(OFFSET(INDIRECT($E18),,2),MATCH($F18,INDIRECT($E18),0)))*L18/1000*IF(AND(E18="Énergie",F18&lt;&gt;""),IF(AND(INDEX(OFFSET(Énergie,,8,,),MATCH(F18,Énergie,0))=1,H18&lt;&gt;""),IF(H18=1,0,1-1.1676*H18),IF(AND(INDEX(OFFSET(Énergie,,8,,),MATCH(F18,Énergie,0))=2,H18&lt;&gt;""),1-H18,1)),1)))</f>
        <v>#N/A</v>
      </c>
      <c r="P18" s="148" t="e">
        <f ca="1">IF(MATCH('1. Demande'!F106,Mesures,0)&lt;&gt;2,0,IF(L18="","",IF(OR($E18="choisir…",$E18="Aucun",F18=""),0,INDEX(OFFSET(INDIRECT(IF($E18="fugitive","PRP",E18)),,3),MATCH($F18,INDIRECT(IF($E18="fugitive","PRP",E18)),0)))*L18/1000000*IF($E18="fugitive",1000,1)*IF(AND(E18="Énergie",F18&lt;&gt;""),IF(AND(INDEX(OFFSET(Énergie,,8,,),MATCH(F18,Énergie,0))=1,H18&lt;&gt;""),IF(H18=1,0,1-1.1676*H18),IF(AND(INDEX(OFFSET(Énergie,,8,,),MATCH(F18,Énergie,0))=2,H18&lt;&gt;""),1-H18,1)),1)))</f>
        <v>#N/A</v>
      </c>
      <c r="Q18" s="290">
        <v>0</v>
      </c>
      <c r="R18" s="290">
        <v>0</v>
      </c>
      <c r="S18" s="290">
        <v>0</v>
      </c>
      <c r="T18" s="295"/>
      <c r="U18" s="290"/>
      <c r="V18" s="274" t="s">
        <v>184</v>
      </c>
      <c r="W18" s="279"/>
      <c r="X18" s="279"/>
      <c r="Y18" s="280">
        <v>10</v>
      </c>
      <c r="Z18" s="280">
        <v>15</v>
      </c>
      <c r="AA18" s="274" t="s">
        <v>691</v>
      </c>
      <c r="AB18" s="274"/>
      <c r="AC18" s="274" t="s">
        <v>687</v>
      </c>
      <c r="AD18" s="275"/>
      <c r="AE18" s="274" t="s">
        <v>915</v>
      </c>
      <c r="AF18" s="275"/>
      <c r="AG18" s="260" t="b">
        <f ca="1" t="shared" si="1"/>
        <v>1</v>
      </c>
      <c r="AH18" s="192">
        <f t="shared" si="8"/>
        <v>9</v>
      </c>
      <c r="AI18" s="289" t="s">
        <v>961</v>
      </c>
      <c r="AJ18" s="192">
        <f ca="1" t="shared" si="2"/>
        <v>1</v>
      </c>
      <c r="AK18" s="192">
        <f ca="1" t="shared" si="3"/>
        <v>1</v>
      </c>
      <c r="AL18" s="192" t="e">
        <f ca="1" t="shared" si="4"/>
        <v>#N/A</v>
      </c>
      <c r="AM18" s="192">
        <f ca="1" t="shared" si="5"/>
      </c>
      <c r="AN18" s="192" t="str">
        <f ca="1" t="shared" si="6"/>
        <v>I</v>
      </c>
      <c r="AO18" s="192">
        <f ca="1" t="shared" si="7"/>
        <v>1</v>
      </c>
      <c r="AP18" s="192" t="b">
        <v>0</v>
      </c>
      <c r="AQ18" s="273" t="s">
        <v>481</v>
      </c>
      <c r="AR18" s="288" t="s">
        <v>75</v>
      </c>
    </row>
    <row r="19" spans="1:56" ht="15.75" customHeight="1">
      <c r="A19" s="274" t="e">
        <f>IF(MATCH('1. Demande'!F106,Mesures,0)&lt;&gt;2,"",2)</f>
        <v>#N/A</v>
      </c>
      <c r="B19" s="275" t="s">
        <v>949</v>
      </c>
      <c r="C19" s="275" t="s">
        <v>925</v>
      </c>
      <c r="D19" s="275" t="s">
        <v>150</v>
      </c>
      <c r="E19" s="275" t="s">
        <v>249</v>
      </c>
      <c r="F19" s="275" t="e">
        <f>IF('1. Demande'!P106=0,"",'1. Demande'!P106)</f>
        <v>#N/A</v>
      </c>
      <c r="G19" s="146" t="e">
        <f ca="1" t="shared" si="0"/>
        <v>#N/A</v>
      </c>
      <c r="H19" s="276"/>
      <c r="I19" s="277" t="e">
        <f ca="1">IF(MATCH('1. Demande'!F106,Mesures,0)&lt;&gt;2,0,16.96*'1. Demande'!V108*INDEX(OFFSET(Unite_Surface,,1,,),MATCH('1. Demande'!AC108,Unite_Surface,0))+72135)*IF('1. Demande'!P106="Électricité",Data!F76*AS19,1)</f>
        <v>#N/A</v>
      </c>
      <c r="J19" s="275"/>
      <c r="K19" s="278"/>
      <c r="L19" s="310" t="e">
        <f>IF(MATCH('1. Demande'!F106,Mesures,0)&lt;&gt;2,0,IF('1. Demande'!P106="Électricité",0,(1075.6*SUM('1. Demande'!Z113:Z118)-978.92)*0.75))</f>
        <v>#N/A</v>
      </c>
      <c r="M19" s="164" t="e">
        <f>IF('1. Demande'!P106="Électricité",0.08,0.43)</f>
        <v>#N/A</v>
      </c>
      <c r="N19" s="290" t="e">
        <f>M19*L19</f>
        <v>#N/A</v>
      </c>
      <c r="O19" s="147" t="e">
        <f ca="1">IF(MATCH('1. Demande'!F106,Mesures,0)&lt;&gt;2,0,IF(L19="","",IF(OR(E19&lt;&gt;"Énergie",F19=""),0,INDEX(OFFSET(INDIRECT($E19),,2),MATCH($F19,INDIRECT($E19),0)))*L19/1000*IF(AND(E19="Énergie",F19&lt;&gt;""),IF(AND(INDEX(OFFSET(Énergie,,8,,),MATCH(F19,Énergie,0))=1,H19&lt;&gt;""),IF(H19=1,0,1-1.1676*H19),IF(AND(INDEX(OFFSET(Énergie,,8,,),MATCH(F19,Énergie,0))=2,H19&lt;&gt;""),1-H19,1)),1)))</f>
        <v>#N/A</v>
      </c>
      <c r="P19" s="148" t="e">
        <f ca="1">IF(MATCH('1. Demande'!F106,Mesures,0)&lt;&gt;2,0,IF(L19="","",IF(OR($E19="choisir…",$E19="Aucun",F19=""),0,INDEX(OFFSET(INDIRECT(IF($E19="fugitive","PRP",E19)),,3),MATCH($F19,INDIRECT(IF($E19="fugitive","PRP",E19)),0)))*L19/1000000*IF($E19="fugitive",1000,1)*IF(AND(E19="Énergie",F19&lt;&gt;""),IF(AND(INDEX(OFFSET(Énergie,,8,,),MATCH(F19,Énergie,0))=1,H19&lt;&gt;""),IF(H19=1,0,1-1.1676*H19),IF(AND(INDEX(OFFSET(Énergie,,8,,),MATCH(F19,Énergie,0))=2,H19&lt;&gt;""),1-H19,1)),1)))</f>
        <v>#N/A</v>
      </c>
      <c r="Q19" s="290">
        <v>0</v>
      </c>
      <c r="R19" s="290" t="e">
        <f>S19</f>
        <v>#N/A</v>
      </c>
      <c r="S19" s="290" t="e">
        <f>IF(MATCH('1. Demande'!F106,Mesures,0)&lt;&gt;2,0,463*SUM('1. Demande'!Z113:Z118)+26780)*0.75</f>
        <v>#N/A</v>
      </c>
      <c r="T19" s="295" t="e">
        <f>S19-U19</f>
        <v>#N/A</v>
      </c>
      <c r="U19" s="290">
        <v>0</v>
      </c>
      <c r="V19" s="274" t="s">
        <v>1059</v>
      </c>
      <c r="W19" s="279" t="e">
        <f>IF(MATCH('1. Demande'!F106,Mesures,0)&lt;&gt;2,0,S19/N19)</f>
        <v>#N/A</v>
      </c>
      <c r="X19" s="279" t="e">
        <f>IF(MATCH('1. Demande'!F106,Mesures,0)&lt;&gt;2,0,T19/N19)</f>
        <v>#N/A</v>
      </c>
      <c r="Y19" s="280">
        <v>10</v>
      </c>
      <c r="Z19" s="280">
        <v>15</v>
      </c>
      <c r="AA19" s="274" t="s">
        <v>691</v>
      </c>
      <c r="AB19" s="274"/>
      <c r="AC19" s="274" t="s">
        <v>687</v>
      </c>
      <c r="AD19" s="275"/>
      <c r="AE19" s="274" t="s">
        <v>916</v>
      </c>
      <c r="AF19" s="275"/>
      <c r="AG19" s="260" t="b">
        <f ca="1" t="shared" si="1"/>
        <v>0</v>
      </c>
      <c r="AH19" s="192">
        <f t="shared" si="8"/>
        <v>9</v>
      </c>
      <c r="AI19" s="289" t="s">
        <v>962</v>
      </c>
      <c r="AJ19" s="192">
        <f ca="1" t="shared" si="2"/>
        <v>1</v>
      </c>
      <c r="AK19" s="192" t="e">
        <f ca="1" t="shared" si="3"/>
        <v>#N/A</v>
      </c>
      <c r="AL19" s="192" t="e">
        <f ca="1" t="shared" si="4"/>
        <v>#N/A</v>
      </c>
      <c r="AM19" s="192">
        <f ca="1" t="shared" si="5"/>
        <v>1</v>
      </c>
      <c r="AN19" s="192" t="str">
        <f ca="1" t="shared" si="6"/>
        <v>I</v>
      </c>
      <c r="AO19" s="192">
        <f ca="1" t="shared" si="7"/>
        <v>1</v>
      </c>
      <c r="AP19" s="192" t="b">
        <v>0</v>
      </c>
      <c r="AQ19" s="273" t="s">
        <v>481</v>
      </c>
      <c r="AR19" s="288" t="s">
        <v>88</v>
      </c>
      <c r="AS19" s="309">
        <v>0.82</v>
      </c>
      <c r="AY19" t="s">
        <v>1028</v>
      </c>
      <c r="BC19" t="s">
        <v>1036</v>
      </c>
      <c r="BD19" s="34" t="s">
        <v>1035</v>
      </c>
    </row>
    <row r="20" spans="1:56" ht="15.75" customHeight="1">
      <c r="A20" s="274" t="e">
        <f>IF(OR(MATCH('1. Demande'!F106,Mesures,0)=3,MATCH('1. Demande'!F106,Mesures,0)=4,MATCH('1. Demande'!F106,Mesures,0)=5,MATCH('1. Demande'!F106,Mesures,0)=6,MATCH('1. Demande'!F106,Mesures,0)=7,MATCH('1. Demande'!F106,Mesures,0)=8)=TRUE,1,"")</f>
        <v>#N/A</v>
      </c>
      <c r="B20" s="275" t="e">
        <f>'1. Demande'!H131</f>
        <v>#N/A</v>
      </c>
      <c r="C20" s="275" t="s">
        <v>227</v>
      </c>
      <c r="D20" s="275" t="e">
        <f>IF('1. Demande'!F106="Choisir…","",CHOOSE(MATCH('1. Demande'!F106,Mesures,0)-1,"","Traditionnelles","Bioénergies","Bioénergies","Traditionnelles","Bioénergies","Bioénergies"))</f>
        <v>#N/A</v>
      </c>
      <c r="E20" s="275" t="s">
        <v>249</v>
      </c>
      <c r="F20" s="275" t="e">
        <f>IF('1. Demande'!P106=0,"",'1. Demande'!P106)</f>
        <v>#N/A</v>
      </c>
      <c r="G20" s="146" t="e">
        <f ca="1" t="shared" si="0"/>
        <v>#N/A</v>
      </c>
      <c r="H20" s="276"/>
      <c r="I20" s="277" t="e">
        <f ca="1">IF(MATCH('1. Demande'!F106,Mesures,0)=9,0,IF(OR(MATCH('1. Demande'!F106,Mesures,0)=3,MATCH('1. Demande'!F106,Mesures,0)=4,MATCH('1. Demande'!F106,Mesures,0)=5)=TRUE,AS20*38.5/AT20,IF(OR(MATCH('1. Demande'!F106,Mesures,0)=6,MATCH('1. Demande'!F106,Mesures,0)=7,MATCH('1. Demande'!F106,Mesures,0)=8)=TRUE,AX20,""))/IF('1. Demande'!AU108=FALSE,1,INDEX(OFFSET(TypeSys,,4,,),MATCH('1. Demande'!V106,TypeSys,0))))</f>
        <v>#N/A</v>
      </c>
      <c r="J20" s="296" t="e">
        <f>IF(OR(MATCH('1. Demande'!F106,Mesures,0)=3,MATCH('1. Demande'!F106,Mesures,0)=4,MATCH('1. Demande'!F106,Mesures,0)=5)=TRUE,I20/'1. Demande'!AJ108/IF('1. Demande'!AP108="lbs",1,2.204623),"")</f>
        <v>#N/A</v>
      </c>
      <c r="K20" s="278" t="e">
        <f>IF(OR(MATCH('1. Demande'!F106,Mesures,0)=3,MATCH('1. Demande'!F106,Mesures,0)=4,MATCH('1. Demande'!F106,Mesures,0)=5)=TRUE,CONCATENATE(G20,"/lbs"),"")</f>
        <v>#N/A</v>
      </c>
      <c r="L20" s="277" t="e">
        <f>IF(OR(MATCH('1. Demande'!F106,Mesures,0)=3,MATCH('1. Demande'!F106,Mesures,0)=4,MATCH('1. Demande'!F106,Mesures,0)=5)=TRUE,I20,IF(OR(MATCH('1. Demande'!F106,Mesures,0)=6,MATCH('1. Demande'!F106,Mesures,0)=7,MATCH('1. Demande'!F106,Mesures,0)=8)=TRUE,AX20,0))</f>
        <v>#N/A</v>
      </c>
      <c r="M20" s="164" t="e">
        <f>IF(MATCH('1. Demande'!F106,Mesures,0)=9,0,CHOOSE(MATCH('1. Demande'!P106,NRJEvap,0),1,0.55,0.6))</f>
        <v>#N/A</v>
      </c>
      <c r="N20" s="290" t="e">
        <f>M20*L20</f>
        <v>#N/A</v>
      </c>
      <c r="O20" s="478" t="e">
        <f aca="true" ca="1" t="shared" si="9" ref="O20:O49">IF(L20="","",IF(OR(E20&lt;&gt;"Énergie",F20=""),0,INDEX(OFFSET(INDIRECT($E20),,2),MATCH($F20,INDIRECT($E20),0)))*L20/1000*IF(AND(E20="Énergie",F20&lt;&gt;""),IF(AND(INDEX(OFFSET(Énergie,,8,,),MATCH(F20,Énergie,0))=1,H20&lt;&gt;""),IF(H20=1,0,1-1.1676*H20),IF(AND(INDEX(OFFSET(Énergie,,8,,),MATCH(F20,Énergie,0))=2,H20&lt;&gt;""),1-H20,1)),1))</f>
        <v>#N/A</v>
      </c>
      <c r="P20" s="148" t="e">
        <f ca="1">IF(L20="","",IF(OR($E20="choisir…",$E20="Aucun",F20=""),0,INDEX(OFFSET(INDIRECT(IF($E20="fugitive","PRP",E20)),,3),MATCH($F20,INDIRECT(IF($E20="fugitive","PRP",E20)),0)))*L20/1000000*IF($E20="fugitive",1000,1)*IF(AND(E20="Énergie",F20&lt;&gt;""),IF(AND(INDEX(OFFSET(Énergie,,8,,),MATCH(F20,Énergie,0))=1,H20&lt;&gt;""),IF(H20=1,0,1-1.1676*H20),IF(AND(INDEX(OFFSET(Énergie,,8,,),MATCH(F20,Énergie,0))=2,H20&lt;&gt;""),1-H20,1)),1))</f>
        <v>#N/A</v>
      </c>
      <c r="Q20" s="290">
        <v>0</v>
      </c>
      <c r="R20" s="290" t="e">
        <f>S20</f>
        <v>#N/A</v>
      </c>
      <c r="S20" s="297" t="e">
        <f>IF(OR(MATCH('1. Demande'!F106,Mesures,0)=3,MATCH('1. Demande'!F106,Mesures,0)=4,MATCH('1. Demande'!F106,Mesures,0)=5)=TRUE,AV20*'1. Demande'!AJ108+'2. Plan d''implantation'!AW20,IF(OR(MATCH('1. Demande'!F106,Mesures,0)=6,MATCH('1. Demande'!F106,Mesures,0)=7,MATCH('1. Demande'!F106,Mesures,0)=8)=TRUE,BC20,0))</f>
        <v>#N/A</v>
      </c>
      <c r="T20" s="295" t="e">
        <f>S20-U20</f>
        <v>#N/A</v>
      </c>
      <c r="U20" s="290" t="e">
        <f ca="1">IF(OR(MATCH('1. Demande'!F106,Mesures,0)=3,MATCH('1. Demande'!F106,Mesures,0)=4,MATCH('1. Demande'!F106,Mesures,0)=5)=TRUE,IF(SUM(P20:P21)*125*10&lt;AU20,AU20,MIN(SUM(P20:P21)*125*10,100000)),IF(OR(MATCH('1. Demande'!F106,Mesures,0)=6,MATCH('1. Demande'!F106,Mesures,0)=7,MATCH('1. Demande'!F106,Mesures,0)=8)=TRUE,IF(IF(SUM(O20:O20)&gt;Data!G120,Data!G120,SUM(O20:O20))*INDEX(OFFSET(NRJChauf,,2,,),MATCH('1. Demande'!P106,NRJChauf,0))&lt;AU20,AU20,MIN(IF(SUM(O20:O20)&gt;Data!G120,Data!G120,SUM(O20:O20))*INDEX(OFFSET(NRJChauf,,2,,),MATCH('1. Demande'!P106,NRJChauf,0)),100000,0.75*S20)),0))</f>
        <v>#N/A</v>
      </c>
      <c r="V20" s="274" t="s">
        <v>1059</v>
      </c>
      <c r="W20" s="279" t="e">
        <f>IF(OR(MATCH('1. Demande'!F106,Mesures,0)=3,MATCH('1. Demande'!F106,Mesures,0)=4,MATCH('1. Demande'!F106,Mesures,0)=5,MATCH('1. Demande'!F106,Mesures,0)=6,MATCH('1. Demande'!F106,Mesures,0)=7,MATCH('1. Demande'!F106,Mesures,0)=8)=TRUE,S20/SUM(SUM(N20:N21),0))</f>
        <v>#N/A</v>
      </c>
      <c r="X20" s="279" t="e">
        <f>IF(OR(MATCH('1. Demande'!F106,Mesures,0)=3,MATCH('1. Demande'!F106,Mesures,0)=4,MATCH('1. Demande'!F106,Mesures,0)=5,MATCH('1. Demande'!F106,Mesures,0)=6,MATCH('1. Demande'!F106,Mesures,0)=7,MATCH('1. Demande'!F106,Mesures,0)=8)=TRUE,T20/SUM(SUM(N20:N21),0))</f>
        <v>#N/A</v>
      </c>
      <c r="Y20" s="280">
        <v>10</v>
      </c>
      <c r="Z20" s="280">
        <v>20</v>
      </c>
      <c r="AA20" s="274" t="s">
        <v>691</v>
      </c>
      <c r="AB20" s="274"/>
      <c r="AC20" s="274" t="s">
        <v>687</v>
      </c>
      <c r="AD20" s="275"/>
      <c r="AE20" s="274" t="s">
        <v>915</v>
      </c>
      <c r="AF20" s="275"/>
      <c r="AG20" s="260" t="b">
        <f ca="1" t="shared" si="1"/>
        <v>1</v>
      </c>
      <c r="AH20" s="192">
        <f t="shared" si="8"/>
        <v>9</v>
      </c>
      <c r="AI20" s="289" t="e">
        <f>CHOOSE(MATCH('1. Demande'!F106,Mesures,0),"","","93","94","95","96","97","98","99")</f>
        <v>#N/A</v>
      </c>
      <c r="AJ20" s="192">
        <f ca="1" t="shared" si="2"/>
        <v>1</v>
      </c>
      <c r="AK20" s="192" t="e">
        <f ca="1" t="shared" si="3"/>
        <v>#N/A</v>
      </c>
      <c r="AL20" s="192" t="e">
        <f ca="1" t="shared" si="4"/>
        <v>#N/A</v>
      </c>
      <c r="AM20" s="192">
        <f ca="1" t="shared" si="5"/>
        <v>1</v>
      </c>
      <c r="AN20" s="192" t="str">
        <f ca="1" t="shared" si="6"/>
        <v>I</v>
      </c>
      <c r="AO20" s="192">
        <f ca="1" t="shared" si="7"/>
        <v>1</v>
      </c>
      <c r="AP20" s="192" t="b">
        <v>0</v>
      </c>
      <c r="AQ20" s="273">
        <f>Data!DP2</f>
        <v>0</v>
      </c>
      <c r="AR20" s="288" t="e">
        <f>IF('1. Demande'!F106="Choisir…","",CHOOSE(MATCH('1. Demande'!F106,Mesures,0)-1,"1151210","1158180","1151240","1151240",Data!DQ2,Data!DQ2,Data!DQ2,"1158180"))</f>
        <v>#N/A</v>
      </c>
      <c r="AS20">
        <f>AT22*4.54609/13.2476*'1. Demande'!AJ108*IF('1. Demande'!AP108="Lbs",1,2.204623)</f>
        <v>0</v>
      </c>
      <c r="AT20" t="e">
        <f ca="1">INDEX(OFFSET(NRJEvap,,1,,),MATCH(F20,NRJEvap,0))</f>
        <v>#N/A</v>
      </c>
      <c r="AU20" t="e">
        <f ca="1">INDEX(OFFSET(Mesures,,1,,),MATCH('1. Demande'!F106,Mesures,0))</f>
        <v>#N/A</v>
      </c>
      <c r="AV20" t="e">
        <f ca="1">INDEX(OFFSET(Mesures,,2,,),MATCH('1. Demande'!F106,Mesures,0))*AS22</f>
        <v>#N/A</v>
      </c>
      <c r="AW20" t="e">
        <f ca="1">INDEX(OFFSET(Mesures,,3,,),MATCH('1. Demande'!F106,Mesures,0))</f>
        <v>#N/A</v>
      </c>
      <c r="AX20">
        <f ca="1">IF('1. Demande'!AU108=FALSE,1,INDEX(OFFSET(TypeSys,,4,,),MATCH('1. Demande'!V106,TypeSys,0)))*'1. Demande'!R84</f>
        <v>0</v>
      </c>
      <c r="AY20" t="e">
        <f ca="1">INDEX(OFFSET(NRJChauf,,1,,),MATCH(F20,NRJChauf,0))</f>
        <v>#N/A</v>
      </c>
      <c r="AZ20" s="273" t="e">
        <f>MATCH('1. Demande'!V106,TypeSys,0)</f>
        <v>#N/A</v>
      </c>
      <c r="BA20" t="e">
        <f ca="1">INDEX(OFFSET(TypeSys,,1,,),MATCH('1. Demande'!V106,TypeSys,0))</f>
        <v>#N/A</v>
      </c>
      <c r="BB20" t="e">
        <f ca="1">INDEX(OFFSET(TypeSys,,2,,),MATCH('1. Demande'!V106,TypeSys,0))</f>
        <v>#N/A</v>
      </c>
      <c r="BC20" t="e">
        <f>AX20*AY20/38.5*BA20+BB20</f>
        <v>#N/A</v>
      </c>
      <c r="BD20" t="e">
        <f ca="1">INDEX(OFFSET(NRJChauf,,3,,),MATCH(F20,NRJChauf,0))</f>
        <v>#N/A</v>
      </c>
    </row>
    <row r="21" spans="1:56" ht="15.75" customHeight="1">
      <c r="A21" s="274" t="e">
        <f>IF(OR(MATCH('1. Demande'!F106,Mesures,0)=3,MATCH('1. Demande'!F106,Mesures,0)=4,MATCH('1. Demande'!F106,Mesures,0)=5,MATCH('1. Demande'!F106,Mesures,0)=6,MATCH('1. Demande'!F106,Mesures,0)=7,MATCH('1. Demande'!F106,Mesures,0)=8)=TRUE,1,"")</f>
        <v>#N/A</v>
      </c>
      <c r="B21" s="275" t="e">
        <f>B20</f>
        <v>#N/A</v>
      </c>
      <c r="C21" s="275" t="s">
        <v>227</v>
      </c>
      <c r="D21" s="275" t="e">
        <f>IF('1. Demande'!F106="Choisir…","",CHOOSE(MATCH('1. Demande'!F106,Mesures,0)-1,"","Traditionnelles","Bioénergies","Bioénergies","Traditionnelles","Bioénergies","Bioénergies"))</f>
        <v>#N/A</v>
      </c>
      <c r="E21" s="275" t="s">
        <v>249</v>
      </c>
      <c r="F21" s="275" t="e">
        <f>IF('1. Demande'!F106="Choisir…","",CHOOSE(MATCH('1. Demande'!F106,Mesures,0)-1,"Électricité","Électricité","Biomasse résiduelle","Biomasse résiduelle","Électricité","Biomasse résiduelle","Biomasse résiduelle"))</f>
        <v>#N/A</v>
      </c>
      <c r="G21" s="146" t="e">
        <f ca="1" t="shared" si="0"/>
        <v>#N/A</v>
      </c>
      <c r="H21" s="276" t="e">
        <f>IF('1. Demande'!F106="Choisir…","",CHOOSE(MATCH('1. Demande'!F106,Mesures,0)-1,"","",0.25,0.08,"",0.25,0.08))</f>
        <v>#N/A</v>
      </c>
      <c r="I21" s="277">
        <v>0</v>
      </c>
      <c r="J21" s="296" t="e">
        <f>IF(OR(MATCH('1. Demande'!F106,Mesures,0)=3,MATCH('1. Demande'!F106,Mesures,0)=4,MATCH('1. Demande'!F106,Mesures,0)=5)=TRUE,-L21/'1. Demande'!AJ108/IF('1. Demande'!AP108="lbs",1,2.204623),"")</f>
        <v>#N/A</v>
      </c>
      <c r="K21" s="278" t="e">
        <f>IF(OR(MATCH('1. Demande'!F106,Mesures,0)=3,MATCH('1. Demande'!F106,Mesures,0)=4,MATCH('1. Demande'!F106,Mesures,0)=5)=TRUE,CONCATENATE(G21,"/lbs"),"")</f>
        <v>#N/A</v>
      </c>
      <c r="L21" s="277" t="e">
        <f>AX21</f>
        <v>#N/A</v>
      </c>
      <c r="M21" s="164" t="e">
        <f>CHOOSE(MATCH('1. Demande'!F106,Mesures,0),0,0.109,0.109,0.08,0.2,0.103,0.08,0.2)</f>
        <v>#N/A</v>
      </c>
      <c r="N21" s="290" t="e">
        <f>IF(MATCH('1. Demande'!F106,Mesures,0)=9,0,M21*L21)</f>
        <v>#N/A</v>
      </c>
      <c r="O21" s="478" t="e">
        <f ca="1">IF(MATCH('1. Demande'!F106,Mesures,0)=9,0,IF(L21="","",IF(OR(E21&lt;&gt;"Énergie",F21=""),0,INDEX(OFFSET(INDIRECT($E21),,2),MATCH($F21,INDIRECT($E21),0)))*L21/1000*IF(AND(E21="Énergie",F21&lt;&gt;""),IF(AND(INDEX(OFFSET(Énergie,,8,,),MATCH(F21,Énergie,0))=1,H21&lt;&gt;""),IF(H21=1,0,1-1.1676*H21),IF(AND(INDEX(OFFSET(Énergie,,8,,),MATCH(F21,Énergie,0))=2,H21&lt;&gt;""),1-H21,1)),1)))</f>
        <v>#N/A</v>
      </c>
      <c r="P21" s="148" t="e">
        <f ca="1">IF(MATCH('1. Demande'!F106,Mesures,0)=9,0,IF(L21="","",IF(OR($E21="choisir…",$E21="Aucun",F21=""),0,INDEX(OFFSET(INDIRECT(IF($E21="fugitive","PRP",E21)),,3),MATCH($F21,INDIRECT(IF($E21="fugitive","PRP",E21)),0)))*L21/1000000*IF($E21="fugitive",1000,1)*IF(AND(E21="Énergie",F21&lt;&gt;""),IF(AND(INDEX(OFFSET(Énergie,,8,,),MATCH(F21,Énergie,0))=1,H21&lt;&gt;""),IF(H21=1,0,1-1.1676*H21),IF(AND(INDEX(OFFSET(Énergie,,8,,),MATCH(F21,Énergie,0))=2,H21&lt;&gt;""),1-H21,1)),1)))</f>
        <v>#N/A</v>
      </c>
      <c r="Q21" s="290">
        <v>0</v>
      </c>
      <c r="R21" s="290">
        <v>0</v>
      </c>
      <c r="S21" s="290">
        <v>0</v>
      </c>
      <c r="T21" s="295"/>
      <c r="U21" s="290"/>
      <c r="V21" s="274" t="s">
        <v>184</v>
      </c>
      <c r="W21" s="279"/>
      <c r="X21" s="279"/>
      <c r="Y21" s="280">
        <v>10</v>
      </c>
      <c r="Z21" s="280">
        <v>20</v>
      </c>
      <c r="AA21" s="274" t="s">
        <v>691</v>
      </c>
      <c r="AB21" s="274"/>
      <c r="AC21" s="274" t="s">
        <v>687</v>
      </c>
      <c r="AD21" s="275"/>
      <c r="AE21" s="274" t="s">
        <v>915</v>
      </c>
      <c r="AF21" s="275"/>
      <c r="AG21" s="260" t="b">
        <f ca="1" t="shared" si="1"/>
        <v>1</v>
      </c>
      <c r="AH21" s="192">
        <f t="shared" si="8"/>
        <v>9</v>
      </c>
      <c r="AI21" s="289" t="e">
        <f>CHOOSE(MATCH('1. Demande'!F106,Mesures,0),"","","93","94","95","96","97","98","99")</f>
        <v>#N/A</v>
      </c>
      <c r="AJ21" s="192">
        <f ca="1" t="shared" si="2"/>
        <v>1</v>
      </c>
      <c r="AK21" s="192" t="e">
        <f ca="1" t="shared" si="3"/>
        <v>#N/A</v>
      </c>
      <c r="AL21" s="192" t="e">
        <f ca="1" t="shared" si="4"/>
        <v>#N/A</v>
      </c>
      <c r="AM21" s="192">
        <f ca="1" t="shared" si="5"/>
      </c>
      <c r="AN21" s="192" t="str">
        <f ca="1" t="shared" si="6"/>
        <v>I</v>
      </c>
      <c r="AO21" s="192">
        <f ca="1" t="shared" si="7"/>
        <v>1</v>
      </c>
      <c r="AP21" s="192" t="b">
        <v>0</v>
      </c>
      <c r="AQ21" s="273">
        <f>AQ20</f>
        <v>0</v>
      </c>
      <c r="AR21" s="288" t="e">
        <f>AR20</f>
        <v>#N/A</v>
      </c>
      <c r="AS21">
        <v>0.238</v>
      </c>
      <c r="AT21">
        <v>0.69367</v>
      </c>
      <c r="AX21" t="e">
        <f>IF(OR(MATCH('1. Demande'!F106,Mesures,0)=3,MATCH('1. Demande'!F106,Mesures,0)=4,MATCH('1. Demande'!F106,Mesures,0)=5)=TRUE,CHOOSE(MATCH('1. Demande'!F106,Mesures,0),0,0,-0.174*'1. Demande'!AJ108*IF('1. Demande'!AP108="lbs",1,2.204623),-AS20*3.6812,-AS20*2.8752),IF(OR(MATCH('1. Demande'!F106,Mesures,0)=6,MATCH('1. Demande'!F106,Mesures,0)=7,MATCH('1. Demande'!F106,Mesures,0)=8)=TRUE,-AX20*AY20*BD20/BD21/AY21,0))</f>
        <v>#N/A</v>
      </c>
      <c r="AY21" t="e">
        <f ca="1">IF(OR(E21&lt;&gt;"Énergie",F21=""),0,INDEX(OFFSET(INDIRECT($E21),,2),MATCH($F21,INDIRECT($E21),0)))*IF(AND(E21="Énergie",F21&lt;&gt;""),IF(AND(INDEX(OFFSET(Énergie,,8,,),MATCH(F21,Énergie,0))=1,H21&lt;&gt;""),IF(H21=1,0,1-1.1676*H21),IF(AND(INDEX(OFFSET(Énergie,,8,,),MATCH(F21,Énergie,0))=2,H21&lt;&gt;""),1-H21,1)),1)</f>
        <v>#N/A</v>
      </c>
      <c r="BD21" t="e">
        <f ca="1">INDEX(OFFSET(TypeSys,,IF(MATCH('1. Demande'!F106,Mesures,0)=6,5,6),,),MATCH('1. Demande'!V106,TypeSys,0))</f>
        <v>#N/A</v>
      </c>
    </row>
    <row r="22" spans="1:46" ht="15.75" customHeight="1">
      <c r="A22" s="274" t="e">
        <f>IF(MATCH('1. Demande'!F106,Mesures,0)=9,1,"")</f>
        <v>#N/A</v>
      </c>
      <c r="B22" s="275" t="e">
        <f>B21</f>
        <v>#N/A</v>
      </c>
      <c r="C22" s="275" t="s">
        <v>227</v>
      </c>
      <c r="D22" s="275" t="s">
        <v>919</v>
      </c>
      <c r="E22" s="275" t="s">
        <v>249</v>
      </c>
      <c r="F22" s="275" t="s">
        <v>283</v>
      </c>
      <c r="G22" s="146" t="str">
        <f ca="1" t="shared" si="0"/>
        <v>kWh</v>
      </c>
      <c r="H22" s="276"/>
      <c r="I22" s="277">
        <v>0</v>
      </c>
      <c r="J22" s="275"/>
      <c r="K22" s="278"/>
      <c r="L22" s="277" t="e">
        <f>IF(MATCH('1. Demande'!F106,Mesures,0)=9,-#REF!,0)</f>
        <v>#N/A</v>
      </c>
      <c r="M22" s="164">
        <v>0.0559</v>
      </c>
      <c r="N22" s="290" t="e">
        <f>M22*L22</f>
        <v>#N/A</v>
      </c>
      <c r="O22" s="147" t="e">
        <f ca="1" t="shared" si="9"/>
        <v>#N/A</v>
      </c>
      <c r="P22" s="148" t="e">
        <f aca="true" ca="1" t="shared" si="10" ref="P22:P49">IF(L22="","",IF(OR($E22="choisir…",$E22="Aucun",F22=""),0,INDEX(OFFSET(INDIRECT(IF($E22="fugitive","PRP",E22)),,3),MATCH($F22,INDIRECT(IF($E22="fugitive","PRP",E22)),0)))*L22/1000000*IF($E22="fugitive",1000,1)*IF(AND(E22="Énergie",F22&lt;&gt;""),IF(AND(INDEX(OFFSET(Énergie,,8,,),MATCH(F22,Énergie,0))=1,H22&lt;&gt;""),IF(H22=1,0,1-1.1676*H22),IF(AND(INDEX(OFFSET(Énergie,,8,,),MATCH(F22,Énergie,0))=2,H22&lt;&gt;""),1-H22,1)),1))</f>
        <v>#N/A</v>
      </c>
      <c r="Q22" s="290">
        <v>0</v>
      </c>
      <c r="R22" s="290" t="e">
        <f>IF(MATCH('1. Demande'!F106,Mesures,0)=9,#REF!,0)</f>
        <v>#N/A</v>
      </c>
      <c r="S22" s="290" t="e">
        <f>R22</f>
        <v>#N/A</v>
      </c>
      <c r="T22" s="295" t="e">
        <f>S22-U22</f>
        <v>#N/A</v>
      </c>
      <c r="U22" s="290" t="e">
        <f>IF(MATCH('1. Demande'!F106,Mesures,0)=9,#REF!,0)</f>
        <v>#N/A</v>
      </c>
      <c r="V22" s="274" t="s">
        <v>1059</v>
      </c>
      <c r="W22" s="279" t="e">
        <f>IF(MATCH('1. Demande'!F106,Mesures,0)=9,S22/N50,0)</f>
        <v>#N/A</v>
      </c>
      <c r="X22" s="279" t="e">
        <f>IF(MATCH('1. Demande'!F106,Mesures,0)=9,T22/N50,0)</f>
        <v>#N/A</v>
      </c>
      <c r="Y22" s="280">
        <v>10</v>
      </c>
      <c r="Z22" s="280">
        <v>20</v>
      </c>
      <c r="AA22" s="274" t="s">
        <v>691</v>
      </c>
      <c r="AB22" s="274"/>
      <c r="AC22" s="274" t="s">
        <v>687</v>
      </c>
      <c r="AD22" s="275"/>
      <c r="AE22" s="274" t="s">
        <v>915</v>
      </c>
      <c r="AF22" s="275"/>
      <c r="AG22" s="260" t="b">
        <f ca="1" t="shared" si="1"/>
        <v>1</v>
      </c>
      <c r="AH22" s="192">
        <f t="shared" si="8"/>
        <v>9</v>
      </c>
      <c r="AI22" s="289" t="s">
        <v>1046</v>
      </c>
      <c r="AJ22" s="192">
        <f ca="1" t="shared" si="2"/>
        <v>1</v>
      </c>
      <c r="AK22" s="192">
        <f ca="1" t="shared" si="3"/>
        <v>1</v>
      </c>
      <c r="AL22" s="192" t="e">
        <f ca="1" t="shared" si="4"/>
        <v>#N/A</v>
      </c>
      <c r="AM22" s="192">
        <f ca="1" t="shared" si="5"/>
        <v>1</v>
      </c>
      <c r="AN22" s="192" t="str">
        <f ca="1" t="shared" si="6"/>
        <v>I</v>
      </c>
      <c r="AO22" s="192">
        <f ca="1" t="shared" si="7"/>
        <v>1</v>
      </c>
      <c r="AP22" s="192" t="b">
        <v>0</v>
      </c>
      <c r="AQ22" s="273" t="s">
        <v>485</v>
      </c>
      <c r="AR22" s="192">
        <f ca="1">IF(C22="Gestion","1151000",IF(AND(C22="Émissions_Fugitives",D22="Optimisation réfrigération"),"1151210",IF(AND(C22="Conversion",D22="Bioénergies"),"1151240",IF(AND(C22="Conversion",D22="Solaires"),"1151202",INDEX(OFFSET(Type_Entreprise,,2,,),MATCH('1. Demande'!AI$76,Type_Entreprise,0))))))</f>
        <v>0</v>
      </c>
      <c r="AS22" s="309">
        <v>0.201</v>
      </c>
      <c r="AT22">
        <f>AT21*AS22/AS21</f>
        <v>0.5858305462184874</v>
      </c>
    </row>
    <row r="23" spans="1:44" ht="15.75" customHeight="1">
      <c r="A23" s="274" t="e">
        <f>IF(MATCH('1. Demande'!F106,Mesures,0)=9,1,"")</f>
        <v>#N/A</v>
      </c>
      <c r="B23" s="275" t="e">
        <f>B22</f>
        <v>#N/A</v>
      </c>
      <c r="C23" s="275" t="s">
        <v>227</v>
      </c>
      <c r="D23" s="275" t="s">
        <v>919</v>
      </c>
      <c r="E23" s="275" t="s">
        <v>249</v>
      </c>
      <c r="F23" s="275" t="s">
        <v>322</v>
      </c>
      <c r="G23" s="146" t="str">
        <f ca="1" t="shared" si="0"/>
        <v>L</v>
      </c>
      <c r="H23" s="276"/>
      <c r="I23" s="277" t="e">
        <f>IF(MATCH('1. Demande'!F106,Mesures,0)=9,#REF!,0)</f>
        <v>#N/A</v>
      </c>
      <c r="J23" s="275"/>
      <c r="K23" s="278"/>
      <c r="L23" s="277" t="e">
        <f>I23</f>
        <v>#N/A</v>
      </c>
      <c r="M23" s="164">
        <v>1</v>
      </c>
      <c r="N23" s="290" t="e">
        <f>L23*M23</f>
        <v>#N/A</v>
      </c>
      <c r="O23" s="147" t="e">
        <f ca="1" t="shared" si="9"/>
        <v>#N/A</v>
      </c>
      <c r="P23" s="148" t="e">
        <f ca="1" t="shared" si="10"/>
        <v>#N/A</v>
      </c>
      <c r="Q23" s="290">
        <v>0</v>
      </c>
      <c r="R23" s="290">
        <v>0</v>
      </c>
      <c r="S23" s="290">
        <v>0</v>
      </c>
      <c r="T23" s="295"/>
      <c r="U23" s="290"/>
      <c r="V23" s="274" t="s">
        <v>184</v>
      </c>
      <c r="W23" s="279"/>
      <c r="X23" s="279"/>
      <c r="Y23" s="280">
        <v>10</v>
      </c>
      <c r="Z23" s="280">
        <v>20</v>
      </c>
      <c r="AA23" s="274" t="s">
        <v>691</v>
      </c>
      <c r="AB23" s="274"/>
      <c r="AC23" s="274" t="s">
        <v>687</v>
      </c>
      <c r="AD23" s="275"/>
      <c r="AE23" s="274" t="s">
        <v>915</v>
      </c>
      <c r="AF23" s="275"/>
      <c r="AG23" s="260" t="b">
        <f ca="1" t="shared" si="1"/>
        <v>1</v>
      </c>
      <c r="AH23" s="192">
        <f t="shared" si="8"/>
        <v>9</v>
      </c>
      <c r="AI23" s="289" t="s">
        <v>1046</v>
      </c>
      <c r="AJ23" s="192">
        <f ca="1" t="shared" si="2"/>
        <v>1</v>
      </c>
      <c r="AK23" s="192">
        <f ca="1" t="shared" si="3"/>
        <v>41</v>
      </c>
      <c r="AL23" s="192" t="e">
        <f ca="1" t="shared" si="4"/>
        <v>#N/A</v>
      </c>
      <c r="AM23" s="192">
        <f ca="1" t="shared" si="5"/>
      </c>
      <c r="AN23" s="192" t="str">
        <f ca="1" t="shared" si="6"/>
        <v>I</v>
      </c>
      <c r="AO23" s="192">
        <f ca="1" t="shared" si="7"/>
        <v>1</v>
      </c>
      <c r="AP23" s="192" t="b">
        <v>0</v>
      </c>
      <c r="AQ23" s="273" t="s">
        <v>485</v>
      </c>
      <c r="AR23" s="192">
        <f ca="1">IF(C23="Gestion","1151000",IF(AND(C23="Émissions_Fugitives",D23="Optimisation réfrigération"),"1151210",IF(AND(C23="Conversion",D23="Bioénergies"),"1151240",IF(AND(C23="Conversion",D23="Solaires"),"1151202",INDEX(OFFSET(Type_Entreprise,,2,,),MATCH('1. Demande'!AI$76,Type_Entreprise,0))))))</f>
        <v>0</v>
      </c>
    </row>
    <row r="24" spans="1:44" ht="15.75" customHeight="1">
      <c r="A24" s="274" t="e">
        <f>IF(MATCH('1. Demande'!F106,Mesures,0)=9,1,"")</f>
        <v>#N/A</v>
      </c>
      <c r="B24" s="275" t="e">
        <f>B23</f>
        <v>#N/A</v>
      </c>
      <c r="C24" s="275" t="s">
        <v>227</v>
      </c>
      <c r="D24" s="275" t="s">
        <v>919</v>
      </c>
      <c r="E24" s="275" t="s">
        <v>249</v>
      </c>
      <c r="F24" s="275" t="s">
        <v>301</v>
      </c>
      <c r="G24" s="146" t="str">
        <f ca="1" t="shared" si="0"/>
        <v>L</v>
      </c>
      <c r="H24" s="276"/>
      <c r="I24" s="277" t="e">
        <f>IF(MATCH('1. Demande'!F106,Mesures,0)=9,#REF!,0)</f>
        <v>#N/A</v>
      </c>
      <c r="J24" s="275"/>
      <c r="K24" s="278"/>
      <c r="L24" s="277" t="e">
        <f>I24</f>
        <v>#N/A</v>
      </c>
      <c r="M24" s="164">
        <v>1</v>
      </c>
      <c r="N24" s="290" t="e">
        <f>L24*M24</f>
        <v>#N/A</v>
      </c>
      <c r="O24" s="147" t="e">
        <f ca="1" t="shared" si="9"/>
        <v>#N/A</v>
      </c>
      <c r="P24" s="148" t="e">
        <f ca="1" t="shared" si="10"/>
        <v>#N/A</v>
      </c>
      <c r="Q24" s="290">
        <v>0</v>
      </c>
      <c r="R24" s="290">
        <v>0</v>
      </c>
      <c r="S24" s="290">
        <v>0</v>
      </c>
      <c r="T24" s="295"/>
      <c r="U24" s="290"/>
      <c r="V24" s="274" t="s">
        <v>184</v>
      </c>
      <c r="W24" s="279"/>
      <c r="X24" s="279"/>
      <c r="Y24" s="280">
        <v>10</v>
      </c>
      <c r="Z24" s="280">
        <v>20</v>
      </c>
      <c r="AA24" s="274" t="s">
        <v>691</v>
      </c>
      <c r="AB24" s="274"/>
      <c r="AC24" s="274" t="s">
        <v>687</v>
      </c>
      <c r="AD24" s="275"/>
      <c r="AE24" s="274" t="s">
        <v>915</v>
      </c>
      <c r="AF24" s="275"/>
      <c r="AG24" s="260" t="b">
        <f ca="1" t="shared" si="1"/>
        <v>1</v>
      </c>
      <c r="AH24" s="192">
        <f t="shared" si="8"/>
        <v>9</v>
      </c>
      <c r="AI24" s="289" t="s">
        <v>1046</v>
      </c>
      <c r="AJ24" s="192">
        <f ca="1" t="shared" si="2"/>
        <v>1</v>
      </c>
      <c r="AK24" s="192">
        <f ca="1" t="shared" si="3"/>
        <v>3</v>
      </c>
      <c r="AL24" s="192" t="e">
        <f ca="1" t="shared" si="4"/>
        <v>#N/A</v>
      </c>
      <c r="AM24" s="192">
        <f ca="1" t="shared" si="5"/>
      </c>
      <c r="AN24" s="192" t="str">
        <f ca="1" t="shared" si="6"/>
        <v>I</v>
      </c>
      <c r="AO24" s="192">
        <f ca="1" t="shared" si="7"/>
        <v>1</v>
      </c>
      <c r="AP24" s="192" t="b">
        <v>0</v>
      </c>
      <c r="AQ24" s="273" t="s">
        <v>485</v>
      </c>
      <c r="AR24" s="192">
        <f ca="1">IF(C24="Gestion","1151000",IF(AND(C24="Émissions_Fugitives",D24="Optimisation réfrigération"),"1151210",IF(AND(C24="Conversion",D24="Bioénergies"),"1151240",IF(AND(C24="Conversion",D24="Solaires"),"1151202",INDEX(OFFSET(Type_Entreprise,,2,,),MATCH('1. Demande'!AI$76,Type_Entreprise,0))))))</f>
        <v>0</v>
      </c>
    </row>
    <row r="25" spans="1:44" ht="15.75" customHeight="1">
      <c r="A25" s="274" t="e">
        <f>IF(MATCH('1. Demande'!F106,Mesures,0)=9,1,"")</f>
        <v>#N/A</v>
      </c>
      <c r="B25" s="275" t="e">
        <f>B24</f>
        <v>#N/A</v>
      </c>
      <c r="C25" s="275" t="s">
        <v>227</v>
      </c>
      <c r="D25" s="275" t="s">
        <v>919</v>
      </c>
      <c r="E25" s="275" t="s">
        <v>249</v>
      </c>
      <c r="F25" s="275" t="s">
        <v>123</v>
      </c>
      <c r="G25" s="146" t="str">
        <f ca="1" t="shared" si="0"/>
        <v>L</v>
      </c>
      <c r="H25" s="276"/>
      <c r="I25" s="277" t="e">
        <f>IF(MATCH('1. Demande'!F106,Mesures,0)=9,#REF!,0)</f>
        <v>#N/A</v>
      </c>
      <c r="J25" s="275"/>
      <c r="K25" s="278"/>
      <c r="L25" s="277" t="e">
        <f>I25</f>
        <v>#N/A</v>
      </c>
      <c r="M25" s="164">
        <v>0.55</v>
      </c>
      <c r="N25" s="290" t="e">
        <f>L25*M25</f>
        <v>#N/A</v>
      </c>
      <c r="O25" s="147" t="e">
        <f ca="1" t="shared" si="9"/>
        <v>#N/A</v>
      </c>
      <c r="P25" s="148" t="e">
        <f ca="1" t="shared" si="10"/>
        <v>#N/A</v>
      </c>
      <c r="Q25" s="290">
        <v>0</v>
      </c>
      <c r="R25" s="290">
        <v>0</v>
      </c>
      <c r="S25" s="290">
        <v>0</v>
      </c>
      <c r="T25" s="295"/>
      <c r="U25" s="290"/>
      <c r="V25" s="274" t="s">
        <v>184</v>
      </c>
      <c r="W25" s="279"/>
      <c r="X25" s="279"/>
      <c r="Y25" s="280">
        <v>10</v>
      </c>
      <c r="Z25" s="280">
        <v>20</v>
      </c>
      <c r="AA25" s="274" t="s">
        <v>691</v>
      </c>
      <c r="AB25" s="274"/>
      <c r="AC25" s="274" t="s">
        <v>687</v>
      </c>
      <c r="AD25" s="275"/>
      <c r="AE25" s="274" t="s">
        <v>915</v>
      </c>
      <c r="AF25" s="275"/>
      <c r="AG25" s="260" t="b">
        <f ca="1" t="shared" si="1"/>
        <v>1</v>
      </c>
      <c r="AH25" s="192">
        <f t="shared" si="8"/>
        <v>9</v>
      </c>
      <c r="AI25" s="289" t="s">
        <v>1046</v>
      </c>
      <c r="AJ25" s="192">
        <f ca="1" t="shared" si="2"/>
        <v>1</v>
      </c>
      <c r="AK25" s="192">
        <f ca="1" t="shared" si="3"/>
        <v>5</v>
      </c>
      <c r="AL25" s="192" t="e">
        <f ca="1" t="shared" si="4"/>
        <v>#N/A</v>
      </c>
      <c r="AM25" s="192">
        <f ca="1" t="shared" si="5"/>
      </c>
      <c r="AN25" s="192" t="str">
        <f ca="1" t="shared" si="6"/>
        <v>I</v>
      </c>
      <c r="AO25" s="192">
        <f ca="1" t="shared" si="7"/>
        <v>1</v>
      </c>
      <c r="AP25" s="192" t="b">
        <v>0</v>
      </c>
      <c r="AQ25" s="273" t="s">
        <v>485</v>
      </c>
      <c r="AR25" s="192">
        <f ca="1">IF(C25="Gestion","1151000",IF(AND(C25="Émissions_Fugitives",D25="Optimisation réfrigération"),"1151210",IF(AND(C25="Conversion",D25="Bioénergies"),"1151240",IF(AND(C25="Conversion",D25="Solaires"),"1151202",INDEX(OFFSET(Type_Entreprise,,2,,),MATCH('1. Demande'!AI$76,Type_Entreprise,0))))))</f>
        <v>0</v>
      </c>
    </row>
    <row r="26" spans="1:44" ht="15.75" customHeight="1">
      <c r="A26" s="274"/>
      <c r="B26" s="275"/>
      <c r="C26" s="275" t="s">
        <v>184</v>
      </c>
      <c r="D26" s="275"/>
      <c r="E26" s="275" t="s">
        <v>184</v>
      </c>
      <c r="F26" s="275"/>
      <c r="G26" s="146">
        <f ca="1" t="shared" si="0"/>
      </c>
      <c r="H26" s="276"/>
      <c r="I26" s="277"/>
      <c r="J26" s="275"/>
      <c r="K26" s="278"/>
      <c r="L26" s="277"/>
      <c r="M26" s="164"/>
      <c r="N26" s="290"/>
      <c r="O26" s="147">
        <f ca="1" t="shared" si="9"/>
      </c>
      <c r="P26" s="148">
        <f ca="1" t="shared" si="10"/>
      </c>
      <c r="Q26" s="290">
        <v>0</v>
      </c>
      <c r="R26" s="290">
        <v>0</v>
      </c>
      <c r="S26" s="290">
        <v>0</v>
      </c>
      <c r="T26" s="295"/>
      <c r="U26" s="290"/>
      <c r="V26" s="274" t="s">
        <v>184</v>
      </c>
      <c r="W26" s="279"/>
      <c r="X26" s="279"/>
      <c r="Y26" s="280"/>
      <c r="Z26" s="280"/>
      <c r="AA26" s="274" t="s">
        <v>184</v>
      </c>
      <c r="AB26" s="274"/>
      <c r="AC26" s="274" t="s">
        <v>184</v>
      </c>
      <c r="AD26" s="275"/>
      <c r="AE26" s="274" t="s">
        <v>916</v>
      </c>
      <c r="AF26" s="275"/>
      <c r="AG26" s="260" t="b">
        <f ca="1" t="shared" si="1"/>
        <v>0</v>
      </c>
      <c r="AH26" s="192">
        <f t="shared" si="8"/>
      </c>
      <c r="AI26" s="241">
        <f aca="true" ca="1" t="shared" si="11" ref="AI26:AI49">IF(D26&lt;&gt;"",INDEX(OFFSET(INDIRECT(C26),,-1,,),MATCH(D26,INDIRECT(C26),0)),"")</f>
      </c>
      <c r="AJ26" s="192">
        <f ca="1" t="shared" si="2"/>
      </c>
      <c r="AK26" s="192">
        <f ca="1" t="shared" si="3"/>
      </c>
      <c r="AL26" s="192">
        <f ca="1" t="shared" si="4"/>
        <v>0</v>
      </c>
      <c r="AM26" s="192">
        <f ca="1" t="shared" si="5"/>
      </c>
      <c r="AN26" s="192">
        <f ca="1" t="shared" si="6"/>
      </c>
      <c r="AO26" s="192">
        <f ca="1" t="shared" si="7"/>
      </c>
      <c r="AP26" s="192" t="b">
        <v>0</v>
      </c>
      <c r="AQ26" s="192" t="e">
        <f>CHOOSE(AH26,"Affaires",IF(Data!DP$2="agricole","Agricole","Affaires"),IF(Data!DP$2="Agricole","Industriel",Data!DP$2),IF(Data!DP$2="Agricole","Industriel",Data!DP$2),IF(Data!DP$2="Agricole","Agricole","Affaires"),IF(Data!DP$2="Transport","Transport","Affaires"),IF(Data!DP$2="Agricole","Industriel",Data!DP$2))</f>
        <v>#VALUE!</v>
      </c>
      <c r="AR26" s="192">
        <f ca="1">IF(C26="Gestion","1151000",IF(AND(C26="Émissions_Fugitives",D26="Optimisation réfrigération"),"1151210",IF(AND(C26="Conversion",D26="Bioénergies"),"1151240",IF(AND(C26="Conversion",D26="Solaires"),"1151202",INDEX(OFFSET(Type_Entreprise,,2,,),MATCH('1. Demande'!AI$76,Type_Entreprise,0))))))</f>
        <v>0</v>
      </c>
    </row>
    <row r="27" spans="1:44" ht="15.75" customHeight="1">
      <c r="A27" s="274"/>
      <c r="B27" s="275"/>
      <c r="C27" s="275" t="s">
        <v>184</v>
      </c>
      <c r="D27" s="275"/>
      <c r="E27" s="275" t="s">
        <v>184</v>
      </c>
      <c r="F27" s="275"/>
      <c r="G27" s="146">
        <f ca="1" t="shared" si="0"/>
      </c>
      <c r="H27" s="276"/>
      <c r="I27" s="277"/>
      <c r="J27" s="275"/>
      <c r="K27" s="278"/>
      <c r="L27" s="277"/>
      <c r="M27" s="164"/>
      <c r="N27" s="290"/>
      <c r="O27" s="147">
        <f ca="1" t="shared" si="9"/>
      </c>
      <c r="P27" s="148">
        <f ca="1" t="shared" si="10"/>
      </c>
      <c r="Q27" s="290">
        <v>0</v>
      </c>
      <c r="R27" s="290">
        <v>0</v>
      </c>
      <c r="S27" s="290">
        <v>0</v>
      </c>
      <c r="T27" s="295"/>
      <c r="U27" s="290"/>
      <c r="V27" s="274" t="s">
        <v>184</v>
      </c>
      <c r="W27" s="279"/>
      <c r="X27" s="279"/>
      <c r="Y27" s="280"/>
      <c r="Z27" s="280"/>
      <c r="AA27" s="274" t="s">
        <v>184</v>
      </c>
      <c r="AB27" s="274"/>
      <c r="AC27" s="274" t="s">
        <v>184</v>
      </c>
      <c r="AD27" s="275"/>
      <c r="AE27" s="274" t="s">
        <v>916</v>
      </c>
      <c r="AF27" s="275"/>
      <c r="AG27" s="260" t="b">
        <f ca="1" t="shared" si="1"/>
        <v>0</v>
      </c>
      <c r="AH27" s="192">
        <f t="shared" si="8"/>
      </c>
      <c r="AI27" s="241">
        <f ca="1" t="shared" si="11"/>
      </c>
      <c r="AJ27" s="192">
        <f ca="1" t="shared" si="2"/>
      </c>
      <c r="AK27" s="192">
        <f ca="1" t="shared" si="3"/>
      </c>
      <c r="AL27" s="192">
        <f ca="1" t="shared" si="4"/>
        <v>0</v>
      </c>
      <c r="AM27" s="192">
        <f ca="1" t="shared" si="5"/>
      </c>
      <c r="AN27" s="192">
        <f ca="1" t="shared" si="6"/>
      </c>
      <c r="AO27" s="192">
        <f ca="1" t="shared" si="7"/>
      </c>
      <c r="AP27" s="192" t="b">
        <v>0</v>
      </c>
      <c r="AQ27" s="192" t="e">
        <f>CHOOSE(AH27,"Affaires",IF(Data!DP$2="agricole","Agricole","Affaires"),IF(Data!DP$2="Agricole","Industriel",Data!DP$2),IF(Data!DP$2="Agricole","Industriel",Data!DP$2),IF(Data!DP$2="Agricole","Agricole","Affaires"),IF(Data!DP$2="Transport","Transport","Affaires"),IF(Data!DP$2="Agricole","Industriel",Data!DP$2))</f>
        <v>#VALUE!</v>
      </c>
      <c r="AR27" s="192">
        <f ca="1">IF(C27="Gestion","1151000",IF(AND(C27="Émissions_Fugitives",D27="Optimisation réfrigération"),"1151210",IF(AND(C27="Conversion",D27="Bioénergies"),"1151240",IF(AND(C27="Conversion",D27="Solaires"),"1151202",INDEX(OFFSET(Type_Entreprise,,2,,),MATCH('1. Demande'!AI$76,Type_Entreprise,0))))))</f>
        <v>0</v>
      </c>
    </row>
    <row r="28" spans="1:44" ht="15.75" customHeight="1">
      <c r="A28" s="274"/>
      <c r="B28" s="275"/>
      <c r="C28" s="275" t="s">
        <v>184</v>
      </c>
      <c r="D28" s="275"/>
      <c r="E28" s="275" t="s">
        <v>184</v>
      </c>
      <c r="F28" s="275"/>
      <c r="G28" s="146">
        <f ca="1" t="shared" si="0"/>
      </c>
      <c r="H28" s="276"/>
      <c r="I28" s="277"/>
      <c r="J28" s="275"/>
      <c r="K28" s="278"/>
      <c r="L28" s="277"/>
      <c r="M28" s="164"/>
      <c r="N28" s="290"/>
      <c r="O28" s="147">
        <f ca="1" t="shared" si="9"/>
      </c>
      <c r="P28" s="148">
        <f ca="1" t="shared" si="10"/>
      </c>
      <c r="Q28" s="290">
        <v>0</v>
      </c>
      <c r="R28" s="290">
        <v>0</v>
      </c>
      <c r="S28" s="290">
        <v>0</v>
      </c>
      <c r="T28" s="295"/>
      <c r="U28" s="290"/>
      <c r="V28" s="274" t="s">
        <v>184</v>
      </c>
      <c r="W28" s="279"/>
      <c r="X28" s="279"/>
      <c r="Y28" s="280"/>
      <c r="Z28" s="280"/>
      <c r="AA28" s="274" t="s">
        <v>184</v>
      </c>
      <c r="AB28" s="274"/>
      <c r="AC28" s="274" t="s">
        <v>184</v>
      </c>
      <c r="AD28" s="275"/>
      <c r="AE28" s="274" t="s">
        <v>916</v>
      </c>
      <c r="AF28" s="275"/>
      <c r="AG28" s="260" t="b">
        <f ca="1" t="shared" si="1"/>
        <v>0</v>
      </c>
      <c r="AH28" s="192">
        <f t="shared" si="8"/>
      </c>
      <c r="AI28" s="241">
        <f ca="1" t="shared" si="11"/>
      </c>
      <c r="AJ28" s="192">
        <f ca="1" t="shared" si="2"/>
      </c>
      <c r="AK28" s="192">
        <f ca="1" t="shared" si="3"/>
      </c>
      <c r="AL28" s="192">
        <f ca="1" t="shared" si="4"/>
        <v>0</v>
      </c>
      <c r="AM28" s="192">
        <f ca="1" t="shared" si="5"/>
      </c>
      <c r="AN28" s="192">
        <f ca="1" t="shared" si="6"/>
      </c>
      <c r="AO28" s="192">
        <f ca="1" t="shared" si="7"/>
      </c>
      <c r="AP28" s="192" t="b">
        <v>0</v>
      </c>
      <c r="AQ28" s="192" t="e">
        <f>CHOOSE(AH28,"Affaires",IF(Data!DP$2="agricole","Agricole","Affaires"),IF(Data!DP$2="Agricole","Industriel",Data!DP$2),IF(Data!DP$2="Agricole","Industriel",Data!DP$2),IF(Data!DP$2="Agricole","Agricole","Affaires"),IF(Data!DP$2="Transport","Transport","Affaires"),IF(Data!DP$2="Agricole","Industriel",Data!DP$2))</f>
        <v>#VALUE!</v>
      </c>
      <c r="AR28" s="192">
        <f ca="1">IF(C28="Gestion","1151000",IF(AND(C28="Émissions_Fugitives",D28="Optimisation réfrigération"),"1151210",IF(AND(C28="Conversion",D28="Bioénergies"),"1151240",IF(AND(C28="Conversion",D28="Solaires"),"1151202",INDEX(OFFSET(Type_Entreprise,,2,,),MATCH('1. Demande'!AI$76,Type_Entreprise,0))))))</f>
        <v>0</v>
      </c>
    </row>
    <row r="29" spans="1:44" ht="15.75" customHeight="1">
      <c r="A29" s="274"/>
      <c r="B29" s="275"/>
      <c r="C29" s="275" t="s">
        <v>184</v>
      </c>
      <c r="D29" s="275"/>
      <c r="E29" s="275" t="s">
        <v>184</v>
      </c>
      <c r="F29" s="275"/>
      <c r="G29" s="146">
        <f ca="1" t="shared" si="0"/>
      </c>
      <c r="H29" s="276"/>
      <c r="I29" s="277"/>
      <c r="J29" s="275"/>
      <c r="K29" s="278"/>
      <c r="L29" s="277"/>
      <c r="M29" s="164"/>
      <c r="N29" s="290"/>
      <c r="O29" s="147">
        <f ca="1" t="shared" si="9"/>
      </c>
      <c r="P29" s="148">
        <f ca="1" t="shared" si="10"/>
      </c>
      <c r="Q29" s="290">
        <v>0</v>
      </c>
      <c r="R29" s="290">
        <v>0</v>
      </c>
      <c r="S29" s="290">
        <v>0</v>
      </c>
      <c r="T29" s="295"/>
      <c r="U29" s="290"/>
      <c r="V29" s="274" t="s">
        <v>184</v>
      </c>
      <c r="W29" s="279"/>
      <c r="X29" s="279"/>
      <c r="Y29" s="280"/>
      <c r="Z29" s="280"/>
      <c r="AA29" s="274" t="s">
        <v>184</v>
      </c>
      <c r="AB29" s="274"/>
      <c r="AC29" s="274" t="s">
        <v>184</v>
      </c>
      <c r="AD29" s="275"/>
      <c r="AE29" s="274" t="s">
        <v>916</v>
      </c>
      <c r="AF29" s="275"/>
      <c r="AG29" s="260" t="b">
        <f ca="1" t="shared" si="1"/>
        <v>0</v>
      </c>
      <c r="AH29" s="192">
        <f t="shared" si="8"/>
      </c>
      <c r="AI29" s="241">
        <f ca="1" t="shared" si="11"/>
      </c>
      <c r="AJ29" s="192">
        <f ca="1" t="shared" si="2"/>
      </c>
      <c r="AK29" s="192">
        <f ca="1" t="shared" si="3"/>
      </c>
      <c r="AL29" s="192">
        <f ca="1" t="shared" si="4"/>
        <v>0</v>
      </c>
      <c r="AM29" s="192">
        <f ca="1" t="shared" si="5"/>
      </c>
      <c r="AN29" s="192">
        <f ca="1" t="shared" si="6"/>
      </c>
      <c r="AO29" s="192">
        <f ca="1" t="shared" si="7"/>
      </c>
      <c r="AP29" s="192" t="b">
        <v>0</v>
      </c>
      <c r="AQ29" s="192" t="e">
        <f>CHOOSE(AH29,"Affaires",IF(Data!DP$2="agricole","Agricole","Affaires"),IF(Data!DP$2="Agricole","Industriel",Data!DP$2),IF(Data!DP$2="Agricole","Industriel",Data!DP$2),IF(Data!DP$2="Agricole","Agricole","Affaires"),IF(Data!DP$2="Transport","Transport","Affaires"),IF(Data!DP$2="Agricole","Industriel",Data!DP$2))</f>
        <v>#VALUE!</v>
      </c>
      <c r="AR29" s="192">
        <f ca="1">IF(C29="Gestion","1151000",IF(AND(C29="Émissions_Fugitives",D29="Optimisation réfrigération"),"1151210",IF(AND(C29="Conversion",D29="Bioénergies"),"1151240",IF(AND(C29="Conversion",D29="Solaires"),"1151202",INDEX(OFFSET(Type_Entreprise,,2,,),MATCH('1. Demande'!AI$76,Type_Entreprise,0))))))</f>
        <v>0</v>
      </c>
    </row>
    <row r="30" spans="1:44" ht="15.75" customHeight="1">
      <c r="A30" s="274"/>
      <c r="B30" s="275"/>
      <c r="C30" s="275" t="s">
        <v>184</v>
      </c>
      <c r="D30" s="275"/>
      <c r="E30" s="275" t="s">
        <v>184</v>
      </c>
      <c r="F30" s="275"/>
      <c r="G30" s="146">
        <f ca="1" t="shared" si="0"/>
      </c>
      <c r="H30" s="276"/>
      <c r="I30" s="277"/>
      <c r="J30" s="275"/>
      <c r="K30" s="278"/>
      <c r="L30" s="277"/>
      <c r="M30" s="164"/>
      <c r="N30" s="290"/>
      <c r="O30" s="147">
        <f ca="1" t="shared" si="9"/>
      </c>
      <c r="P30" s="148">
        <f ca="1" t="shared" si="10"/>
      </c>
      <c r="Q30" s="290">
        <v>0</v>
      </c>
      <c r="R30" s="290">
        <v>0</v>
      </c>
      <c r="S30" s="290">
        <v>0</v>
      </c>
      <c r="T30" s="295"/>
      <c r="U30" s="290"/>
      <c r="V30" s="274" t="s">
        <v>184</v>
      </c>
      <c r="W30" s="279"/>
      <c r="X30" s="279"/>
      <c r="Y30" s="280"/>
      <c r="Z30" s="280"/>
      <c r="AA30" s="274" t="s">
        <v>184</v>
      </c>
      <c r="AB30" s="274"/>
      <c r="AC30" s="274" t="s">
        <v>184</v>
      </c>
      <c r="AD30" s="275"/>
      <c r="AE30" s="274" t="s">
        <v>916</v>
      </c>
      <c r="AF30" s="275"/>
      <c r="AG30" s="260" t="b">
        <f ca="1" t="shared" si="1"/>
        <v>0</v>
      </c>
      <c r="AH30" s="192">
        <f t="shared" si="8"/>
      </c>
      <c r="AI30" s="241">
        <f ca="1" t="shared" si="11"/>
      </c>
      <c r="AJ30" s="192">
        <f ca="1" t="shared" si="2"/>
      </c>
      <c r="AK30" s="192">
        <f ca="1" t="shared" si="3"/>
      </c>
      <c r="AL30" s="192">
        <f ca="1" t="shared" si="4"/>
        <v>0</v>
      </c>
      <c r="AM30" s="192">
        <f ca="1" t="shared" si="5"/>
      </c>
      <c r="AN30" s="192">
        <f ca="1" t="shared" si="6"/>
      </c>
      <c r="AO30" s="192">
        <f ca="1" t="shared" si="7"/>
      </c>
      <c r="AP30" s="192" t="b">
        <v>0</v>
      </c>
      <c r="AQ30" s="192" t="e">
        <f>CHOOSE(AH30,"Affaires",IF(Data!DP$2="agricole","Agricole","Affaires"),IF(Data!DP$2="Agricole","Industriel",Data!DP$2),IF(Data!DP$2="Agricole","Industriel",Data!DP$2),IF(Data!DP$2="Agricole","Agricole","Affaires"),IF(Data!DP$2="Transport","Transport","Affaires"),IF(Data!DP$2="Agricole","Industriel",Data!DP$2))</f>
        <v>#VALUE!</v>
      </c>
      <c r="AR30" s="192">
        <f ca="1">IF(C30="Gestion","1151000",IF(AND(C30="Émissions_Fugitives",D30="Optimisation réfrigération"),"1151210",IF(AND(C30="Conversion",D30="Bioénergies"),"1151240",IF(AND(C30="Conversion",D30="Solaires"),"1151202",INDEX(OFFSET(Type_Entreprise,,2,,),MATCH('1. Demande'!AI$76,Type_Entreprise,0))))))</f>
        <v>0</v>
      </c>
    </row>
    <row r="31" spans="1:44" ht="15.75" customHeight="1">
      <c r="A31" s="274"/>
      <c r="B31" s="275"/>
      <c r="C31" s="275" t="s">
        <v>184</v>
      </c>
      <c r="D31" s="275"/>
      <c r="E31" s="275" t="s">
        <v>184</v>
      </c>
      <c r="F31" s="275"/>
      <c r="G31" s="146">
        <f ca="1" t="shared" si="0"/>
      </c>
      <c r="H31" s="276"/>
      <c r="I31" s="277"/>
      <c r="J31" s="275"/>
      <c r="K31" s="278"/>
      <c r="L31" s="277"/>
      <c r="M31" s="164"/>
      <c r="N31" s="290"/>
      <c r="O31" s="147">
        <f ca="1" t="shared" si="9"/>
      </c>
      <c r="P31" s="148">
        <f ca="1" t="shared" si="10"/>
      </c>
      <c r="Q31" s="290">
        <v>0</v>
      </c>
      <c r="R31" s="290">
        <v>0</v>
      </c>
      <c r="S31" s="290">
        <v>0</v>
      </c>
      <c r="T31" s="295"/>
      <c r="U31" s="290"/>
      <c r="V31" s="274" t="s">
        <v>184</v>
      </c>
      <c r="W31" s="279"/>
      <c r="X31" s="279"/>
      <c r="Y31" s="280"/>
      <c r="Z31" s="280"/>
      <c r="AA31" s="274" t="s">
        <v>184</v>
      </c>
      <c r="AB31" s="274"/>
      <c r="AC31" s="274" t="s">
        <v>184</v>
      </c>
      <c r="AD31" s="275"/>
      <c r="AE31" s="274" t="s">
        <v>916</v>
      </c>
      <c r="AF31" s="275"/>
      <c r="AG31" s="260" t="b">
        <f ca="1" t="shared" si="1"/>
        <v>0</v>
      </c>
      <c r="AH31" s="192">
        <f t="shared" si="8"/>
      </c>
      <c r="AI31" s="241">
        <f ca="1" t="shared" si="11"/>
      </c>
      <c r="AJ31" s="192">
        <f ca="1" t="shared" si="2"/>
      </c>
      <c r="AK31" s="192">
        <f ca="1" t="shared" si="3"/>
      </c>
      <c r="AL31" s="192">
        <f ca="1" t="shared" si="4"/>
        <v>0</v>
      </c>
      <c r="AM31" s="192">
        <f ca="1" t="shared" si="5"/>
      </c>
      <c r="AN31" s="192">
        <f ca="1" t="shared" si="6"/>
      </c>
      <c r="AO31" s="192">
        <f ca="1" t="shared" si="7"/>
      </c>
      <c r="AP31" s="192" t="b">
        <v>0</v>
      </c>
      <c r="AQ31" s="192" t="e">
        <f>CHOOSE(AH31,"Affaires",IF(Data!DP$2="agricole","Agricole","Affaires"),IF(Data!DP$2="Agricole","Industriel",Data!DP$2),IF(Data!DP$2="Agricole","Industriel",Data!DP$2),IF(Data!DP$2="Agricole","Agricole","Affaires"),IF(Data!DP$2="Transport","Transport","Affaires"),IF(Data!DP$2="Agricole","Industriel",Data!DP$2))</f>
        <v>#VALUE!</v>
      </c>
      <c r="AR31" s="192">
        <f ca="1">IF(C31="Gestion","1151000",IF(AND(C31="Émissions_Fugitives",D31="Optimisation réfrigération"),"1151210",IF(AND(C31="Conversion",D31="Bioénergies"),"1151240",IF(AND(C31="Conversion",D31="Solaires"),"1151202",INDEX(OFFSET(Type_Entreprise,,2,,),MATCH('1. Demande'!AI$76,Type_Entreprise,0))))))</f>
        <v>0</v>
      </c>
    </row>
    <row r="32" spans="1:44" ht="15.75" customHeight="1">
      <c r="A32" s="274"/>
      <c r="B32" s="275"/>
      <c r="C32" s="275" t="s">
        <v>184</v>
      </c>
      <c r="D32" s="275"/>
      <c r="E32" s="275" t="s">
        <v>184</v>
      </c>
      <c r="F32" s="275"/>
      <c r="G32" s="146">
        <f ca="1" t="shared" si="0"/>
      </c>
      <c r="H32" s="276"/>
      <c r="I32" s="277"/>
      <c r="J32" s="275"/>
      <c r="K32" s="278"/>
      <c r="L32" s="277"/>
      <c r="M32" s="164"/>
      <c r="N32" s="290"/>
      <c r="O32" s="147">
        <f ca="1" t="shared" si="9"/>
      </c>
      <c r="P32" s="148">
        <f ca="1" t="shared" si="10"/>
      </c>
      <c r="Q32" s="290">
        <v>0</v>
      </c>
      <c r="R32" s="290">
        <v>0</v>
      </c>
      <c r="S32" s="290">
        <v>0</v>
      </c>
      <c r="T32" s="295"/>
      <c r="U32" s="290"/>
      <c r="V32" s="274" t="s">
        <v>184</v>
      </c>
      <c r="W32" s="279"/>
      <c r="X32" s="279"/>
      <c r="Y32" s="280"/>
      <c r="Z32" s="280"/>
      <c r="AA32" s="274" t="s">
        <v>184</v>
      </c>
      <c r="AB32" s="274"/>
      <c r="AC32" s="274" t="s">
        <v>184</v>
      </c>
      <c r="AD32" s="275"/>
      <c r="AE32" s="274" t="s">
        <v>916</v>
      </c>
      <c r="AF32" s="275"/>
      <c r="AG32" s="260" t="b">
        <f ca="1" t="shared" si="1"/>
        <v>0</v>
      </c>
      <c r="AH32" s="192">
        <f t="shared" si="8"/>
      </c>
      <c r="AI32" s="241">
        <f ca="1" t="shared" si="11"/>
      </c>
      <c r="AJ32" s="192">
        <f ca="1" t="shared" si="2"/>
      </c>
      <c r="AK32" s="192">
        <f ca="1" t="shared" si="3"/>
      </c>
      <c r="AL32" s="192">
        <f ca="1" t="shared" si="4"/>
        <v>0</v>
      </c>
      <c r="AM32" s="192">
        <f ca="1" t="shared" si="5"/>
      </c>
      <c r="AN32" s="192">
        <f ca="1" t="shared" si="6"/>
      </c>
      <c r="AO32" s="192">
        <f ca="1" t="shared" si="7"/>
      </c>
      <c r="AP32" s="192" t="b">
        <v>0</v>
      </c>
      <c r="AQ32" s="192" t="e">
        <f>CHOOSE(AH32,"Affaires",IF(Data!DP$2="agricole","Agricole","Affaires"),IF(Data!DP$2="Agricole","Industriel",Data!DP$2),IF(Data!DP$2="Agricole","Industriel",Data!DP$2),IF(Data!DP$2="Agricole","Agricole","Affaires"),IF(Data!DP$2="Transport","Transport","Affaires"),IF(Data!DP$2="Agricole","Industriel",Data!DP$2))</f>
        <v>#VALUE!</v>
      </c>
      <c r="AR32" s="192">
        <f ca="1">IF(C32="Gestion","1151000",IF(AND(C32="Émissions_Fugitives",D32="Optimisation réfrigération"),"1151210",IF(AND(C32="Conversion",D32="Bioénergies"),"1151240",IF(AND(C32="Conversion",D32="Solaires"),"1151202",INDEX(OFFSET(Type_Entreprise,,2,,),MATCH('1. Demande'!AI$76,Type_Entreprise,0))))))</f>
        <v>0</v>
      </c>
    </row>
    <row r="33" spans="1:44" ht="15.75" customHeight="1">
      <c r="A33" s="274"/>
      <c r="B33" s="275"/>
      <c r="C33" s="275" t="s">
        <v>184</v>
      </c>
      <c r="D33" s="275"/>
      <c r="E33" s="275" t="s">
        <v>184</v>
      </c>
      <c r="F33" s="275"/>
      <c r="G33" s="146">
        <f ca="1" t="shared" si="0"/>
      </c>
      <c r="H33" s="276"/>
      <c r="I33" s="277"/>
      <c r="J33" s="275"/>
      <c r="K33" s="278"/>
      <c r="L33" s="277"/>
      <c r="M33" s="164"/>
      <c r="N33" s="290"/>
      <c r="O33" s="147">
        <f ca="1" t="shared" si="9"/>
      </c>
      <c r="P33" s="148">
        <f ca="1" t="shared" si="10"/>
      </c>
      <c r="Q33" s="290">
        <v>0</v>
      </c>
      <c r="R33" s="290">
        <v>0</v>
      </c>
      <c r="S33" s="290">
        <v>0</v>
      </c>
      <c r="T33" s="295"/>
      <c r="U33" s="290"/>
      <c r="V33" s="274" t="s">
        <v>184</v>
      </c>
      <c r="W33" s="279"/>
      <c r="X33" s="279"/>
      <c r="Y33" s="280"/>
      <c r="Z33" s="280"/>
      <c r="AA33" s="274" t="s">
        <v>184</v>
      </c>
      <c r="AB33" s="274"/>
      <c r="AC33" s="274" t="s">
        <v>184</v>
      </c>
      <c r="AD33" s="275"/>
      <c r="AE33" s="274" t="s">
        <v>916</v>
      </c>
      <c r="AF33" s="275"/>
      <c r="AG33" s="260" t="b">
        <f ca="1" t="shared" si="1"/>
        <v>0</v>
      </c>
      <c r="AH33" s="192">
        <f t="shared" si="8"/>
      </c>
      <c r="AI33" s="241">
        <f ca="1" t="shared" si="11"/>
      </c>
      <c r="AJ33" s="192">
        <f ca="1" t="shared" si="2"/>
      </c>
      <c r="AK33" s="192">
        <f ca="1" t="shared" si="3"/>
      </c>
      <c r="AL33" s="192">
        <f ca="1" t="shared" si="4"/>
        <v>0</v>
      </c>
      <c r="AM33" s="192">
        <f ca="1" t="shared" si="5"/>
      </c>
      <c r="AN33" s="192">
        <f ca="1" t="shared" si="6"/>
      </c>
      <c r="AO33" s="192">
        <f ca="1" t="shared" si="7"/>
      </c>
      <c r="AP33" s="192" t="b">
        <v>0</v>
      </c>
      <c r="AQ33" s="192" t="e">
        <f>CHOOSE(AH33,"Affaires",IF(Data!DP$2="agricole","Agricole","Affaires"),IF(Data!DP$2="Agricole","Industriel",Data!DP$2),IF(Data!DP$2="Agricole","Industriel",Data!DP$2),IF(Data!DP$2="Agricole","Agricole","Affaires"),IF(Data!DP$2="Transport","Transport","Affaires"),IF(Data!DP$2="Agricole","Industriel",Data!DP$2))</f>
        <v>#VALUE!</v>
      </c>
      <c r="AR33" s="192">
        <f ca="1">IF(C33="Gestion","1151000",IF(AND(C33="Émissions_Fugitives",D33="Optimisation réfrigération"),"1151210",IF(AND(C33="Conversion",D33="Bioénergies"),"1151240",IF(AND(C33="Conversion",D33="Solaires"),"1151202",INDEX(OFFSET(Type_Entreprise,,2,,),MATCH('1. Demande'!AI$76,Type_Entreprise,0))))))</f>
        <v>0</v>
      </c>
    </row>
    <row r="34" spans="1:44" ht="15.75" customHeight="1">
      <c r="A34" s="274"/>
      <c r="B34" s="275"/>
      <c r="C34" s="275" t="s">
        <v>184</v>
      </c>
      <c r="D34" s="275"/>
      <c r="E34" s="275" t="s">
        <v>184</v>
      </c>
      <c r="F34" s="275"/>
      <c r="G34" s="146">
        <f ca="1" t="shared" si="0"/>
      </c>
      <c r="H34" s="276"/>
      <c r="I34" s="277"/>
      <c r="J34" s="275"/>
      <c r="K34" s="278"/>
      <c r="L34" s="277"/>
      <c r="M34" s="164"/>
      <c r="N34" s="290"/>
      <c r="O34" s="147">
        <f ca="1" t="shared" si="9"/>
      </c>
      <c r="P34" s="148">
        <f ca="1" t="shared" si="10"/>
      </c>
      <c r="Q34" s="290">
        <v>0</v>
      </c>
      <c r="R34" s="290">
        <v>0</v>
      </c>
      <c r="S34" s="290">
        <v>0</v>
      </c>
      <c r="T34" s="295"/>
      <c r="U34" s="290"/>
      <c r="V34" s="274" t="s">
        <v>184</v>
      </c>
      <c r="W34" s="279"/>
      <c r="X34" s="279"/>
      <c r="Y34" s="280"/>
      <c r="Z34" s="280"/>
      <c r="AA34" s="274" t="s">
        <v>184</v>
      </c>
      <c r="AB34" s="274"/>
      <c r="AC34" s="274" t="s">
        <v>184</v>
      </c>
      <c r="AD34" s="275"/>
      <c r="AE34" s="274" t="s">
        <v>916</v>
      </c>
      <c r="AF34" s="275"/>
      <c r="AG34" s="260" t="b">
        <f ca="1" t="shared" si="1"/>
        <v>0</v>
      </c>
      <c r="AH34" s="192">
        <f t="shared" si="8"/>
      </c>
      <c r="AI34" s="241">
        <f ca="1" t="shared" si="11"/>
      </c>
      <c r="AJ34" s="192">
        <f ca="1" t="shared" si="2"/>
      </c>
      <c r="AK34" s="192">
        <f ca="1" t="shared" si="3"/>
      </c>
      <c r="AL34" s="192">
        <f ca="1" t="shared" si="4"/>
        <v>0</v>
      </c>
      <c r="AM34" s="192">
        <f ca="1" t="shared" si="5"/>
      </c>
      <c r="AN34" s="192">
        <f ca="1" t="shared" si="6"/>
      </c>
      <c r="AO34" s="192">
        <f ca="1" t="shared" si="7"/>
      </c>
      <c r="AP34" s="192" t="b">
        <v>0</v>
      </c>
      <c r="AQ34" s="192" t="e">
        <f>CHOOSE(AH34,"Affaires",IF(Data!DP$2="agricole","Agricole","Affaires"),IF(Data!DP$2="Agricole","Industriel",Data!DP$2),IF(Data!DP$2="Agricole","Industriel",Data!DP$2),IF(Data!DP$2="Agricole","Agricole","Affaires"),IF(Data!DP$2="Transport","Transport","Affaires"),IF(Data!DP$2="Agricole","Industriel",Data!DP$2))</f>
        <v>#VALUE!</v>
      </c>
      <c r="AR34" s="192">
        <f ca="1">IF(C34="Gestion","1151000",IF(AND(C34="Émissions_Fugitives",D34="Optimisation réfrigération"),"1151210",IF(AND(C34="Conversion",D34="Bioénergies"),"1151240",IF(AND(C34="Conversion",D34="Solaires"),"1151202",INDEX(OFFSET(Type_Entreprise,,2,,),MATCH('1. Demande'!AI$76,Type_Entreprise,0))))))</f>
        <v>0</v>
      </c>
    </row>
    <row r="35" spans="1:44" ht="15.75" customHeight="1">
      <c r="A35" s="274"/>
      <c r="B35" s="275"/>
      <c r="C35" s="275" t="s">
        <v>184</v>
      </c>
      <c r="D35" s="275"/>
      <c r="E35" s="275" t="s">
        <v>184</v>
      </c>
      <c r="F35" s="275"/>
      <c r="G35" s="146">
        <f ca="1" t="shared" si="0"/>
      </c>
      <c r="H35" s="276"/>
      <c r="I35" s="277"/>
      <c r="J35" s="275"/>
      <c r="K35" s="278"/>
      <c r="L35" s="277"/>
      <c r="M35" s="164"/>
      <c r="N35" s="290"/>
      <c r="O35" s="147">
        <f ca="1" t="shared" si="9"/>
      </c>
      <c r="P35" s="148">
        <f ca="1" t="shared" si="10"/>
      </c>
      <c r="Q35" s="290">
        <v>0</v>
      </c>
      <c r="R35" s="290">
        <v>0</v>
      </c>
      <c r="S35" s="290">
        <v>0</v>
      </c>
      <c r="T35" s="295"/>
      <c r="U35" s="290"/>
      <c r="V35" s="274" t="s">
        <v>184</v>
      </c>
      <c r="W35" s="279"/>
      <c r="X35" s="279"/>
      <c r="Y35" s="280"/>
      <c r="Z35" s="280"/>
      <c r="AA35" s="274" t="s">
        <v>184</v>
      </c>
      <c r="AB35" s="274"/>
      <c r="AC35" s="274" t="s">
        <v>184</v>
      </c>
      <c r="AD35" s="275"/>
      <c r="AE35" s="274" t="s">
        <v>916</v>
      </c>
      <c r="AF35" s="275"/>
      <c r="AG35" s="260" t="b">
        <f ca="1" t="shared" si="1"/>
        <v>0</v>
      </c>
      <c r="AH35" s="192">
        <f t="shared" si="8"/>
      </c>
      <c r="AI35" s="241">
        <f ca="1" t="shared" si="11"/>
      </c>
      <c r="AJ35" s="192">
        <f ca="1" t="shared" si="2"/>
      </c>
      <c r="AK35" s="192">
        <f ca="1" t="shared" si="3"/>
      </c>
      <c r="AL35" s="192">
        <f ca="1" t="shared" si="4"/>
        <v>0</v>
      </c>
      <c r="AM35" s="192">
        <f ca="1" t="shared" si="5"/>
      </c>
      <c r="AN35" s="192">
        <f ca="1" t="shared" si="6"/>
      </c>
      <c r="AO35" s="192">
        <f ca="1" t="shared" si="7"/>
      </c>
      <c r="AP35" s="192" t="b">
        <v>0</v>
      </c>
      <c r="AQ35" s="192" t="e">
        <f>CHOOSE(AH35,"Affaires",IF(Data!DP$2="agricole","Agricole","Affaires"),IF(Data!DP$2="Agricole","Industriel",Data!DP$2),IF(Data!DP$2="Agricole","Industriel",Data!DP$2),IF(Data!DP$2="Agricole","Agricole","Affaires"),IF(Data!DP$2="Transport","Transport","Affaires"),IF(Data!DP$2="Agricole","Industriel",Data!DP$2))</f>
        <v>#VALUE!</v>
      </c>
      <c r="AR35" s="192">
        <f ca="1">IF(C35="Gestion","1151000",IF(AND(C35="Émissions_Fugitives",D35="Optimisation réfrigération"),"1151210",IF(AND(C35="Conversion",D35="Bioénergies"),"1151240",IF(AND(C35="Conversion",D35="Solaires"),"1151202",INDEX(OFFSET(Type_Entreprise,,2,,),MATCH('1. Demande'!AI$76,Type_Entreprise,0))))))</f>
        <v>0</v>
      </c>
    </row>
    <row r="36" spans="1:44" ht="15.75" customHeight="1">
      <c r="A36" s="274"/>
      <c r="B36" s="275"/>
      <c r="C36" s="275" t="s">
        <v>184</v>
      </c>
      <c r="D36" s="275"/>
      <c r="E36" s="275" t="s">
        <v>184</v>
      </c>
      <c r="F36" s="275"/>
      <c r="G36" s="146">
        <f ca="1" t="shared" si="0"/>
      </c>
      <c r="H36" s="276"/>
      <c r="I36" s="277"/>
      <c r="J36" s="275"/>
      <c r="K36" s="278"/>
      <c r="L36" s="277"/>
      <c r="M36" s="164"/>
      <c r="N36" s="290"/>
      <c r="O36" s="147">
        <f ca="1" t="shared" si="9"/>
      </c>
      <c r="P36" s="148">
        <f ca="1" t="shared" si="10"/>
      </c>
      <c r="Q36" s="290">
        <v>0</v>
      </c>
      <c r="R36" s="290">
        <v>0</v>
      </c>
      <c r="S36" s="290">
        <v>0</v>
      </c>
      <c r="T36" s="295"/>
      <c r="U36" s="290"/>
      <c r="V36" s="274" t="s">
        <v>184</v>
      </c>
      <c r="W36" s="279"/>
      <c r="X36" s="279"/>
      <c r="Y36" s="280"/>
      <c r="Z36" s="280"/>
      <c r="AA36" s="274" t="s">
        <v>184</v>
      </c>
      <c r="AB36" s="274"/>
      <c r="AC36" s="274" t="s">
        <v>184</v>
      </c>
      <c r="AD36" s="275"/>
      <c r="AE36" s="274" t="s">
        <v>916</v>
      </c>
      <c r="AF36" s="275"/>
      <c r="AG36" s="260" t="b">
        <f ca="1" t="shared" si="1"/>
        <v>0</v>
      </c>
      <c r="AH36" s="192">
        <f t="shared" si="8"/>
      </c>
      <c r="AI36" s="241">
        <f ca="1" t="shared" si="11"/>
      </c>
      <c r="AJ36" s="192">
        <f ca="1" t="shared" si="2"/>
      </c>
      <c r="AK36" s="192">
        <f ca="1" t="shared" si="3"/>
      </c>
      <c r="AL36" s="192">
        <f ca="1" t="shared" si="4"/>
        <v>0</v>
      </c>
      <c r="AM36" s="192">
        <f ca="1" t="shared" si="5"/>
      </c>
      <c r="AN36" s="192">
        <f ca="1" t="shared" si="6"/>
      </c>
      <c r="AO36" s="192">
        <f ca="1" t="shared" si="7"/>
      </c>
      <c r="AP36" s="192" t="b">
        <v>0</v>
      </c>
      <c r="AQ36" s="192" t="e">
        <f>CHOOSE(AH36,"Affaires",IF(Data!DP$2="agricole","Agricole","Affaires"),IF(Data!DP$2="Agricole","Industriel",Data!DP$2),IF(Data!DP$2="Agricole","Industriel",Data!DP$2),IF(Data!DP$2="Agricole","Agricole","Affaires"),IF(Data!DP$2="Transport","Transport","Affaires"),IF(Data!DP$2="Agricole","Industriel",Data!DP$2))</f>
        <v>#VALUE!</v>
      </c>
      <c r="AR36" s="192">
        <f ca="1">IF(C36="Gestion","1151000",IF(AND(C36="Émissions_Fugitives",D36="Optimisation réfrigération"),"1151210",IF(AND(C36="Conversion",D36="Bioénergies"),"1151240",IF(AND(C36="Conversion",D36="Solaires"),"1151202",INDEX(OFFSET(Type_Entreprise,,2,,),MATCH('1. Demande'!AI$76,Type_Entreprise,0))))))</f>
        <v>0</v>
      </c>
    </row>
    <row r="37" spans="1:44" ht="15.75" customHeight="1">
      <c r="A37" s="274"/>
      <c r="B37" s="275"/>
      <c r="C37" s="275" t="s">
        <v>184</v>
      </c>
      <c r="D37" s="275"/>
      <c r="E37" s="275" t="s">
        <v>184</v>
      </c>
      <c r="F37" s="275"/>
      <c r="G37" s="146">
        <f ca="1" t="shared" si="0"/>
      </c>
      <c r="H37" s="276"/>
      <c r="I37" s="277"/>
      <c r="J37" s="275"/>
      <c r="K37" s="278"/>
      <c r="L37" s="277"/>
      <c r="M37" s="164"/>
      <c r="N37" s="290"/>
      <c r="O37" s="147">
        <f ca="1" t="shared" si="9"/>
      </c>
      <c r="P37" s="148">
        <f ca="1" t="shared" si="10"/>
      </c>
      <c r="Q37" s="290">
        <v>0</v>
      </c>
      <c r="R37" s="290">
        <v>0</v>
      </c>
      <c r="S37" s="290">
        <v>0</v>
      </c>
      <c r="T37" s="295"/>
      <c r="U37" s="290"/>
      <c r="V37" s="274" t="s">
        <v>184</v>
      </c>
      <c r="W37" s="279"/>
      <c r="X37" s="279"/>
      <c r="Y37" s="280"/>
      <c r="Z37" s="280"/>
      <c r="AA37" s="274" t="s">
        <v>184</v>
      </c>
      <c r="AB37" s="274"/>
      <c r="AC37" s="274" t="s">
        <v>184</v>
      </c>
      <c r="AD37" s="275"/>
      <c r="AE37" s="274" t="s">
        <v>916</v>
      </c>
      <c r="AF37" s="275"/>
      <c r="AG37" s="260" t="b">
        <f ca="1" t="shared" si="1"/>
        <v>0</v>
      </c>
      <c r="AH37" s="192">
        <f t="shared" si="8"/>
      </c>
      <c r="AI37" s="241">
        <f ca="1" t="shared" si="11"/>
      </c>
      <c r="AJ37" s="192">
        <f ca="1" t="shared" si="2"/>
      </c>
      <c r="AK37" s="192">
        <f ca="1" t="shared" si="3"/>
      </c>
      <c r="AL37" s="192">
        <f ca="1" t="shared" si="4"/>
        <v>0</v>
      </c>
      <c r="AM37" s="192">
        <f ca="1" t="shared" si="5"/>
      </c>
      <c r="AN37" s="192">
        <f ca="1" t="shared" si="6"/>
      </c>
      <c r="AO37" s="192">
        <f ca="1" t="shared" si="7"/>
      </c>
      <c r="AP37" s="192" t="b">
        <v>0</v>
      </c>
      <c r="AQ37" s="192" t="e">
        <f>CHOOSE(AH37,"Affaires",IF(Data!DP$2="agricole","Agricole","Affaires"),IF(Data!DP$2="Agricole","Industriel",Data!DP$2),IF(Data!DP$2="Agricole","Industriel",Data!DP$2),IF(Data!DP$2="Agricole","Agricole","Affaires"),IF(Data!DP$2="Transport","Transport","Affaires"),IF(Data!DP$2="Agricole","Industriel",Data!DP$2))</f>
        <v>#VALUE!</v>
      </c>
      <c r="AR37" s="192">
        <f ca="1">IF(C37="Gestion","1151000",IF(AND(C37="Émissions_Fugitives",D37="Optimisation réfrigération"),"1151210",IF(AND(C37="Conversion",D37="Bioénergies"),"1151240",IF(AND(C37="Conversion",D37="Solaires"),"1151202",INDEX(OFFSET(Type_Entreprise,,2,,),MATCH('1. Demande'!AI$76,Type_Entreprise,0))))))</f>
        <v>0</v>
      </c>
    </row>
    <row r="38" spans="1:44" ht="15.75" customHeight="1">
      <c r="A38" s="274"/>
      <c r="B38" s="275"/>
      <c r="C38" s="275" t="s">
        <v>184</v>
      </c>
      <c r="D38" s="275"/>
      <c r="E38" s="275" t="s">
        <v>184</v>
      </c>
      <c r="F38" s="275"/>
      <c r="G38" s="146">
        <f ca="1" t="shared" si="0"/>
      </c>
      <c r="H38" s="276"/>
      <c r="I38" s="277"/>
      <c r="J38" s="275"/>
      <c r="K38" s="278"/>
      <c r="L38" s="277"/>
      <c r="M38" s="164"/>
      <c r="N38" s="290"/>
      <c r="O38" s="147">
        <f ca="1" t="shared" si="9"/>
      </c>
      <c r="P38" s="148">
        <f ca="1" t="shared" si="10"/>
      </c>
      <c r="Q38" s="290">
        <v>0</v>
      </c>
      <c r="R38" s="290">
        <v>0</v>
      </c>
      <c r="S38" s="290">
        <v>0</v>
      </c>
      <c r="T38" s="295"/>
      <c r="U38" s="290"/>
      <c r="V38" s="274" t="s">
        <v>184</v>
      </c>
      <c r="W38" s="279"/>
      <c r="X38" s="279"/>
      <c r="Y38" s="280"/>
      <c r="Z38" s="280"/>
      <c r="AA38" s="274" t="s">
        <v>184</v>
      </c>
      <c r="AB38" s="274"/>
      <c r="AC38" s="274" t="s">
        <v>184</v>
      </c>
      <c r="AD38" s="275"/>
      <c r="AE38" s="274" t="s">
        <v>916</v>
      </c>
      <c r="AF38" s="275"/>
      <c r="AG38" s="260" t="b">
        <f ca="1" t="shared" si="1"/>
        <v>0</v>
      </c>
      <c r="AH38" s="192">
        <f t="shared" si="8"/>
      </c>
      <c r="AI38" s="241">
        <f ca="1" t="shared" si="11"/>
      </c>
      <c r="AJ38" s="192">
        <f ca="1" t="shared" si="2"/>
      </c>
      <c r="AK38" s="192">
        <f ca="1" t="shared" si="3"/>
      </c>
      <c r="AL38" s="192">
        <f ca="1" t="shared" si="4"/>
        <v>0</v>
      </c>
      <c r="AM38" s="192">
        <f ca="1" t="shared" si="5"/>
      </c>
      <c r="AN38" s="192">
        <f ca="1" t="shared" si="6"/>
      </c>
      <c r="AO38" s="192">
        <f ca="1" t="shared" si="7"/>
      </c>
      <c r="AP38" s="192" t="b">
        <v>0</v>
      </c>
      <c r="AQ38" s="192" t="e">
        <f>CHOOSE(AH38,"Affaires",IF(Data!DP$2="agricole","Agricole","Affaires"),IF(Data!DP$2="Agricole","Industriel",Data!DP$2),IF(Data!DP$2="Agricole","Industriel",Data!DP$2),IF(Data!DP$2="Agricole","Agricole","Affaires"),IF(Data!DP$2="Transport","Transport","Affaires"),IF(Data!DP$2="Agricole","Industriel",Data!DP$2))</f>
        <v>#VALUE!</v>
      </c>
      <c r="AR38" s="192">
        <f ca="1">IF(C38="Gestion","1151000",IF(AND(C38="Émissions_Fugitives",D38="Optimisation réfrigération"),"1151210",IF(AND(C38="Conversion",D38="Bioénergies"),"1151240",IF(AND(C38="Conversion",D38="Solaires"),"1151202",INDEX(OFFSET(Type_Entreprise,,2,,),MATCH('1. Demande'!AI$76,Type_Entreprise,0))))))</f>
        <v>0</v>
      </c>
    </row>
    <row r="39" spans="1:44" ht="15.75" customHeight="1">
      <c r="A39" s="274"/>
      <c r="B39" s="275"/>
      <c r="C39" s="275" t="s">
        <v>184</v>
      </c>
      <c r="D39" s="275"/>
      <c r="E39" s="275" t="s">
        <v>184</v>
      </c>
      <c r="F39" s="275"/>
      <c r="G39" s="146">
        <f ca="1" t="shared" si="0"/>
      </c>
      <c r="H39" s="276"/>
      <c r="I39" s="277"/>
      <c r="J39" s="275"/>
      <c r="K39" s="278"/>
      <c r="L39" s="277"/>
      <c r="M39" s="164"/>
      <c r="N39" s="290"/>
      <c r="O39" s="147">
        <f ca="1" t="shared" si="9"/>
      </c>
      <c r="P39" s="148">
        <f ca="1" t="shared" si="10"/>
      </c>
      <c r="Q39" s="290">
        <v>0</v>
      </c>
      <c r="R39" s="290">
        <v>0</v>
      </c>
      <c r="S39" s="290">
        <v>0</v>
      </c>
      <c r="T39" s="295"/>
      <c r="U39" s="290"/>
      <c r="V39" s="274" t="s">
        <v>184</v>
      </c>
      <c r="W39" s="279"/>
      <c r="X39" s="279"/>
      <c r="Y39" s="280"/>
      <c r="Z39" s="280"/>
      <c r="AA39" s="274" t="s">
        <v>184</v>
      </c>
      <c r="AB39" s="274"/>
      <c r="AC39" s="274" t="s">
        <v>184</v>
      </c>
      <c r="AD39" s="275"/>
      <c r="AE39" s="274" t="s">
        <v>916</v>
      </c>
      <c r="AF39" s="275"/>
      <c r="AG39" s="260" t="b">
        <f ca="1" t="shared" si="1"/>
        <v>0</v>
      </c>
      <c r="AH39" s="192">
        <f t="shared" si="8"/>
      </c>
      <c r="AI39" s="241">
        <f ca="1" t="shared" si="11"/>
      </c>
      <c r="AJ39" s="192">
        <f ca="1" t="shared" si="2"/>
      </c>
      <c r="AK39" s="192">
        <f ca="1" t="shared" si="3"/>
      </c>
      <c r="AL39" s="192">
        <f ca="1" t="shared" si="4"/>
        <v>0</v>
      </c>
      <c r="AM39" s="192">
        <f ca="1" t="shared" si="5"/>
      </c>
      <c r="AN39" s="192">
        <f ca="1" t="shared" si="6"/>
      </c>
      <c r="AO39" s="192">
        <f ca="1" t="shared" si="7"/>
      </c>
      <c r="AP39" s="192" t="b">
        <v>0</v>
      </c>
      <c r="AQ39" s="192" t="e">
        <f>CHOOSE(AH39,"Affaires",IF(Data!DP$2="agricole","Agricole","Affaires"),IF(Data!DP$2="Agricole","Industriel",Data!DP$2),IF(Data!DP$2="Agricole","Industriel",Data!DP$2),IF(Data!DP$2="Agricole","Agricole","Affaires"),IF(Data!DP$2="Transport","Transport","Affaires"),IF(Data!DP$2="Agricole","Industriel",Data!DP$2))</f>
        <v>#VALUE!</v>
      </c>
      <c r="AR39" s="192">
        <f ca="1">IF(C39="Gestion","1151000",IF(AND(C39="Émissions_Fugitives",D39="Optimisation réfrigération"),"1151210",IF(AND(C39="Conversion",D39="Bioénergies"),"1151240",IF(AND(C39="Conversion",D39="Solaires"),"1151202",INDEX(OFFSET(Type_Entreprise,,2,,),MATCH('1. Demande'!AI$76,Type_Entreprise,0))))))</f>
        <v>0</v>
      </c>
    </row>
    <row r="40" spans="1:44" ht="15.75" customHeight="1">
      <c r="A40" s="274"/>
      <c r="B40" s="275"/>
      <c r="C40" s="275" t="s">
        <v>184</v>
      </c>
      <c r="D40" s="275"/>
      <c r="E40" s="275" t="s">
        <v>184</v>
      </c>
      <c r="F40" s="275"/>
      <c r="G40" s="146">
        <f ca="1" t="shared" si="0"/>
      </c>
      <c r="H40" s="276"/>
      <c r="I40" s="277"/>
      <c r="J40" s="275"/>
      <c r="K40" s="278"/>
      <c r="L40" s="277"/>
      <c r="M40" s="164"/>
      <c r="N40" s="290"/>
      <c r="O40" s="147">
        <f ca="1" t="shared" si="9"/>
      </c>
      <c r="P40" s="148">
        <f ca="1" t="shared" si="10"/>
      </c>
      <c r="Q40" s="290">
        <v>0</v>
      </c>
      <c r="R40" s="290">
        <v>0</v>
      </c>
      <c r="S40" s="290">
        <v>0</v>
      </c>
      <c r="T40" s="295"/>
      <c r="U40" s="290"/>
      <c r="V40" s="274" t="s">
        <v>184</v>
      </c>
      <c r="W40" s="279"/>
      <c r="X40" s="279"/>
      <c r="Y40" s="280"/>
      <c r="Z40" s="280"/>
      <c r="AA40" s="274" t="s">
        <v>184</v>
      </c>
      <c r="AB40" s="274"/>
      <c r="AC40" s="274" t="s">
        <v>184</v>
      </c>
      <c r="AD40" s="275"/>
      <c r="AE40" s="274" t="s">
        <v>916</v>
      </c>
      <c r="AF40" s="275"/>
      <c r="AG40" s="260" t="b">
        <f ca="1" t="shared" si="1"/>
        <v>0</v>
      </c>
      <c r="AH40" s="192">
        <f t="shared" si="8"/>
      </c>
      <c r="AI40" s="241">
        <f ca="1" t="shared" si="11"/>
      </c>
      <c r="AJ40" s="192">
        <f ca="1" t="shared" si="2"/>
      </c>
      <c r="AK40" s="192">
        <f ca="1" t="shared" si="3"/>
      </c>
      <c r="AL40" s="192">
        <f ca="1" t="shared" si="4"/>
        <v>0</v>
      </c>
      <c r="AM40" s="192">
        <f ca="1" t="shared" si="5"/>
      </c>
      <c r="AN40" s="192">
        <f ca="1" t="shared" si="6"/>
      </c>
      <c r="AO40" s="192">
        <f ca="1" t="shared" si="7"/>
      </c>
      <c r="AP40" s="192" t="b">
        <v>0</v>
      </c>
      <c r="AQ40" s="192" t="e">
        <f>CHOOSE(AH40,"Affaires",IF(Data!DP$2="agricole","Agricole","Affaires"),IF(Data!DP$2="Agricole","Industriel",Data!DP$2),IF(Data!DP$2="Agricole","Industriel",Data!DP$2),IF(Data!DP$2="Agricole","Agricole","Affaires"),IF(Data!DP$2="Transport","Transport","Affaires"),IF(Data!DP$2="Agricole","Industriel",Data!DP$2))</f>
        <v>#VALUE!</v>
      </c>
      <c r="AR40" s="192">
        <f ca="1">IF(C40="Gestion","1151000",IF(AND(C40="Émissions_Fugitives",D40="Optimisation réfrigération"),"1151210",IF(AND(C40="Conversion",D40="Bioénergies"),"1151240",IF(AND(C40="Conversion",D40="Solaires"),"1151202",INDEX(OFFSET(Type_Entreprise,,2,,),MATCH('1. Demande'!AI$76,Type_Entreprise,0))))))</f>
        <v>0</v>
      </c>
    </row>
    <row r="41" spans="1:44" ht="15.75" customHeight="1">
      <c r="A41" s="274"/>
      <c r="B41" s="275"/>
      <c r="C41" s="275" t="s">
        <v>184</v>
      </c>
      <c r="D41" s="275"/>
      <c r="E41" s="275" t="s">
        <v>184</v>
      </c>
      <c r="F41" s="275"/>
      <c r="G41" s="146">
        <f ca="1" t="shared" si="0"/>
      </c>
      <c r="H41" s="276"/>
      <c r="I41" s="277"/>
      <c r="J41" s="275"/>
      <c r="K41" s="278"/>
      <c r="L41" s="277"/>
      <c r="M41" s="164"/>
      <c r="N41" s="290"/>
      <c r="O41" s="147">
        <f ca="1" t="shared" si="9"/>
      </c>
      <c r="P41" s="148">
        <f ca="1" t="shared" si="10"/>
      </c>
      <c r="Q41" s="290">
        <v>0</v>
      </c>
      <c r="R41" s="290">
        <v>0</v>
      </c>
      <c r="S41" s="290">
        <v>0</v>
      </c>
      <c r="T41" s="295"/>
      <c r="U41" s="290"/>
      <c r="V41" s="274" t="s">
        <v>184</v>
      </c>
      <c r="W41" s="279"/>
      <c r="X41" s="279"/>
      <c r="Y41" s="280"/>
      <c r="Z41" s="280"/>
      <c r="AA41" s="274" t="s">
        <v>184</v>
      </c>
      <c r="AB41" s="274"/>
      <c r="AC41" s="274" t="s">
        <v>184</v>
      </c>
      <c r="AD41" s="275"/>
      <c r="AE41" s="274" t="s">
        <v>916</v>
      </c>
      <c r="AF41" s="275"/>
      <c r="AG41" s="260" t="b">
        <f ca="1" t="shared" si="1"/>
        <v>0</v>
      </c>
      <c r="AH41" s="192">
        <f t="shared" si="8"/>
      </c>
      <c r="AI41" s="241">
        <f ca="1" t="shared" si="11"/>
      </c>
      <c r="AJ41" s="192">
        <f ca="1" t="shared" si="2"/>
      </c>
      <c r="AK41" s="192">
        <f ca="1" t="shared" si="3"/>
      </c>
      <c r="AL41" s="192">
        <f ca="1" t="shared" si="4"/>
        <v>0</v>
      </c>
      <c r="AM41" s="192">
        <f ca="1" t="shared" si="5"/>
      </c>
      <c r="AN41" s="192">
        <f ca="1" t="shared" si="6"/>
      </c>
      <c r="AO41" s="192">
        <f ca="1" t="shared" si="7"/>
      </c>
      <c r="AP41" s="192" t="b">
        <v>0</v>
      </c>
      <c r="AQ41" s="192" t="e">
        <f>CHOOSE(AH41,"Affaires",IF(Data!DP$2="agricole","Agricole","Affaires"),IF(Data!DP$2="Agricole","Industriel",Data!DP$2),IF(Data!DP$2="Agricole","Industriel",Data!DP$2),IF(Data!DP$2="Agricole","Agricole","Affaires"),IF(Data!DP$2="Transport","Transport","Affaires"),IF(Data!DP$2="Agricole","Industriel",Data!DP$2))</f>
        <v>#VALUE!</v>
      </c>
      <c r="AR41" s="192">
        <f ca="1">IF(C41="Gestion","1151000",IF(AND(C41="Émissions_Fugitives",D41="Optimisation réfrigération"),"1151210",IF(AND(C41="Conversion",D41="Bioénergies"),"1151240",IF(AND(C41="Conversion",D41="Solaires"),"1151202",INDEX(OFFSET(Type_Entreprise,,2,,),MATCH('1. Demande'!AI$76,Type_Entreprise,0))))))</f>
        <v>0</v>
      </c>
    </row>
    <row r="42" spans="1:44" ht="15.75" customHeight="1">
      <c r="A42" s="274"/>
      <c r="B42" s="275"/>
      <c r="C42" s="275" t="s">
        <v>184</v>
      </c>
      <c r="D42" s="275"/>
      <c r="E42" s="275" t="s">
        <v>184</v>
      </c>
      <c r="F42" s="275"/>
      <c r="G42" s="146">
        <f ca="1" t="shared" si="0"/>
      </c>
      <c r="H42" s="276"/>
      <c r="I42" s="277"/>
      <c r="J42" s="275"/>
      <c r="K42" s="278"/>
      <c r="L42" s="277"/>
      <c r="M42" s="164"/>
      <c r="N42" s="290"/>
      <c r="O42" s="147">
        <f ca="1" t="shared" si="9"/>
      </c>
      <c r="P42" s="148">
        <f ca="1" t="shared" si="10"/>
      </c>
      <c r="Q42" s="290">
        <v>0</v>
      </c>
      <c r="R42" s="290">
        <v>0</v>
      </c>
      <c r="S42" s="290">
        <v>0</v>
      </c>
      <c r="T42" s="295"/>
      <c r="U42" s="290"/>
      <c r="V42" s="274" t="s">
        <v>184</v>
      </c>
      <c r="W42" s="279"/>
      <c r="X42" s="279"/>
      <c r="Y42" s="280"/>
      <c r="Z42" s="280"/>
      <c r="AA42" s="274" t="s">
        <v>184</v>
      </c>
      <c r="AB42" s="274"/>
      <c r="AC42" s="274" t="s">
        <v>184</v>
      </c>
      <c r="AD42" s="275"/>
      <c r="AE42" s="274" t="s">
        <v>916</v>
      </c>
      <c r="AF42" s="275"/>
      <c r="AG42" s="260" t="b">
        <f ca="1" t="shared" si="1"/>
        <v>0</v>
      </c>
      <c r="AH42" s="192">
        <f t="shared" si="8"/>
      </c>
      <c r="AI42" s="241">
        <f ca="1" t="shared" si="11"/>
      </c>
      <c r="AJ42" s="192">
        <f ca="1" t="shared" si="2"/>
      </c>
      <c r="AK42" s="192">
        <f ca="1" t="shared" si="3"/>
      </c>
      <c r="AL42" s="192">
        <f ca="1" t="shared" si="4"/>
        <v>0</v>
      </c>
      <c r="AM42" s="192">
        <f ca="1" t="shared" si="5"/>
      </c>
      <c r="AN42" s="192">
        <f ca="1" t="shared" si="6"/>
      </c>
      <c r="AO42" s="192">
        <f ca="1" t="shared" si="7"/>
      </c>
      <c r="AP42" s="192" t="b">
        <v>0</v>
      </c>
      <c r="AQ42" s="192" t="e">
        <f>CHOOSE(AH42,"Affaires",IF(Data!DP$2="agricole","Agricole","Affaires"),IF(Data!DP$2="Agricole","Industriel",Data!DP$2),IF(Data!DP$2="Agricole","Industriel",Data!DP$2),IF(Data!DP$2="Agricole","Agricole","Affaires"),IF(Data!DP$2="Transport","Transport","Affaires"),IF(Data!DP$2="Agricole","Industriel",Data!DP$2))</f>
        <v>#VALUE!</v>
      </c>
      <c r="AR42" s="192">
        <f ca="1">IF(C42="Gestion","1151000",IF(AND(C42="Émissions_Fugitives",D42="Optimisation réfrigération"),"1151210",IF(AND(C42="Conversion",D42="Bioénergies"),"1151240",IF(AND(C42="Conversion",D42="Solaires"),"1151202",INDEX(OFFSET(Type_Entreprise,,2,,),MATCH('1. Demande'!AI$76,Type_Entreprise,0))))))</f>
        <v>0</v>
      </c>
    </row>
    <row r="43" spans="1:44" ht="15.75" customHeight="1">
      <c r="A43" s="274"/>
      <c r="B43" s="275"/>
      <c r="C43" s="275" t="s">
        <v>184</v>
      </c>
      <c r="D43" s="275"/>
      <c r="E43" s="275" t="s">
        <v>184</v>
      </c>
      <c r="F43" s="275"/>
      <c r="G43" s="146">
        <f ca="1" t="shared" si="0"/>
      </c>
      <c r="H43" s="276"/>
      <c r="I43" s="277"/>
      <c r="J43" s="275"/>
      <c r="K43" s="278"/>
      <c r="L43" s="277"/>
      <c r="M43" s="164"/>
      <c r="N43" s="290"/>
      <c r="O43" s="147">
        <f ca="1" t="shared" si="9"/>
      </c>
      <c r="P43" s="148">
        <f ca="1" t="shared" si="10"/>
      </c>
      <c r="Q43" s="290">
        <v>0</v>
      </c>
      <c r="R43" s="290">
        <v>0</v>
      </c>
      <c r="S43" s="290">
        <v>0</v>
      </c>
      <c r="T43" s="295"/>
      <c r="U43" s="290"/>
      <c r="V43" s="274" t="s">
        <v>184</v>
      </c>
      <c r="W43" s="279"/>
      <c r="X43" s="279"/>
      <c r="Y43" s="280"/>
      <c r="Z43" s="280"/>
      <c r="AA43" s="274" t="s">
        <v>184</v>
      </c>
      <c r="AB43" s="274"/>
      <c r="AC43" s="274" t="s">
        <v>184</v>
      </c>
      <c r="AD43" s="275"/>
      <c r="AE43" s="274" t="s">
        <v>916</v>
      </c>
      <c r="AF43" s="275"/>
      <c r="AG43" s="260" t="b">
        <f ca="1" t="shared" si="1"/>
        <v>0</v>
      </c>
      <c r="AH43" s="192">
        <f t="shared" si="8"/>
      </c>
      <c r="AI43" s="241">
        <f ca="1" t="shared" si="11"/>
      </c>
      <c r="AJ43" s="192">
        <f ca="1" t="shared" si="2"/>
      </c>
      <c r="AK43" s="192">
        <f ca="1" t="shared" si="3"/>
      </c>
      <c r="AL43" s="192">
        <f ca="1" t="shared" si="4"/>
        <v>0</v>
      </c>
      <c r="AM43" s="192">
        <f ca="1" t="shared" si="5"/>
      </c>
      <c r="AN43" s="192">
        <f ca="1" t="shared" si="6"/>
      </c>
      <c r="AO43" s="192">
        <f ca="1" t="shared" si="7"/>
      </c>
      <c r="AP43" s="192" t="b">
        <v>0</v>
      </c>
      <c r="AQ43" s="192" t="e">
        <f>CHOOSE(AH43,"Affaires",IF(Data!DP$2="agricole","Agricole","Affaires"),IF(Data!DP$2="Agricole","Industriel",Data!DP$2),IF(Data!DP$2="Agricole","Industriel",Data!DP$2),IF(Data!DP$2="Agricole","Agricole","Affaires"),IF(Data!DP$2="Transport","Transport","Affaires"),IF(Data!DP$2="Agricole","Industriel",Data!DP$2))</f>
        <v>#VALUE!</v>
      </c>
      <c r="AR43" s="192">
        <f ca="1">IF(C43="Gestion","1151000",IF(AND(C43="Émissions_Fugitives",D43="Optimisation réfrigération"),"1151210",IF(AND(C43="Conversion",D43="Bioénergies"),"1151240",IF(AND(C43="Conversion",D43="Solaires"),"1151202",INDEX(OFFSET(Type_Entreprise,,2,,),MATCH('1. Demande'!AI$76,Type_Entreprise,0))))))</f>
        <v>0</v>
      </c>
    </row>
    <row r="44" spans="1:44" ht="15.75" customHeight="1">
      <c r="A44" s="274"/>
      <c r="B44" s="275"/>
      <c r="C44" s="275" t="s">
        <v>184</v>
      </c>
      <c r="D44" s="275"/>
      <c r="E44" s="275" t="s">
        <v>184</v>
      </c>
      <c r="F44" s="275"/>
      <c r="G44" s="146">
        <f ca="1" t="shared" si="0"/>
      </c>
      <c r="H44" s="276"/>
      <c r="I44" s="277"/>
      <c r="J44" s="275"/>
      <c r="K44" s="278"/>
      <c r="L44" s="277"/>
      <c r="M44" s="164"/>
      <c r="N44" s="290"/>
      <c r="O44" s="147">
        <f ca="1" t="shared" si="9"/>
      </c>
      <c r="P44" s="148">
        <f ca="1" t="shared" si="10"/>
      </c>
      <c r="Q44" s="290">
        <v>0</v>
      </c>
      <c r="R44" s="290">
        <v>0</v>
      </c>
      <c r="S44" s="290">
        <v>0</v>
      </c>
      <c r="T44" s="295"/>
      <c r="U44" s="290"/>
      <c r="V44" s="274" t="s">
        <v>184</v>
      </c>
      <c r="W44" s="279"/>
      <c r="X44" s="279"/>
      <c r="Y44" s="280"/>
      <c r="Z44" s="280"/>
      <c r="AA44" s="274" t="s">
        <v>184</v>
      </c>
      <c r="AB44" s="274"/>
      <c r="AC44" s="274" t="s">
        <v>184</v>
      </c>
      <c r="AD44" s="275"/>
      <c r="AE44" s="274" t="s">
        <v>916</v>
      </c>
      <c r="AF44" s="275"/>
      <c r="AG44" s="260" t="b">
        <f ca="1" t="shared" si="1"/>
        <v>0</v>
      </c>
      <c r="AH44" s="192">
        <f t="shared" si="8"/>
      </c>
      <c r="AI44" s="241">
        <f ca="1" t="shared" si="11"/>
      </c>
      <c r="AJ44" s="192">
        <f ca="1" t="shared" si="2"/>
      </c>
      <c r="AK44" s="192">
        <f ca="1" t="shared" si="3"/>
      </c>
      <c r="AL44" s="192">
        <f ca="1" t="shared" si="4"/>
        <v>0</v>
      </c>
      <c r="AM44" s="192">
        <f ca="1" t="shared" si="5"/>
      </c>
      <c r="AN44" s="192">
        <f ca="1" t="shared" si="6"/>
      </c>
      <c r="AO44" s="192">
        <f ca="1" t="shared" si="7"/>
      </c>
      <c r="AP44" s="192" t="b">
        <v>0</v>
      </c>
      <c r="AQ44" s="192" t="e">
        <f>CHOOSE(AH44,"Affaires",IF(Data!DP$2="agricole","Agricole","Affaires"),IF(Data!DP$2="Agricole","Industriel",Data!DP$2),IF(Data!DP$2="Agricole","Industriel",Data!DP$2),IF(Data!DP$2="Agricole","Agricole","Affaires"),IF(Data!DP$2="Transport","Transport","Affaires"),IF(Data!DP$2="Agricole","Industriel",Data!DP$2))</f>
        <v>#VALUE!</v>
      </c>
      <c r="AR44" s="192">
        <f ca="1">IF(C44="Gestion","1151000",IF(AND(C44="Émissions_Fugitives",D44="Optimisation réfrigération"),"1151210",IF(AND(C44="Conversion",D44="Bioénergies"),"1151240",IF(AND(C44="Conversion",D44="Solaires"),"1151202",INDEX(OFFSET(Type_Entreprise,,2,,),MATCH('1. Demande'!AI$76,Type_Entreprise,0))))))</f>
        <v>0</v>
      </c>
    </row>
    <row r="45" spans="1:44" ht="15.75" customHeight="1">
      <c r="A45" s="274"/>
      <c r="B45" s="275"/>
      <c r="C45" s="275" t="s">
        <v>184</v>
      </c>
      <c r="D45" s="275"/>
      <c r="E45" s="275" t="s">
        <v>184</v>
      </c>
      <c r="F45" s="275"/>
      <c r="G45" s="146">
        <f ca="1" t="shared" si="0"/>
      </c>
      <c r="H45" s="276"/>
      <c r="I45" s="277"/>
      <c r="J45" s="275"/>
      <c r="K45" s="278"/>
      <c r="L45" s="277"/>
      <c r="M45" s="164"/>
      <c r="N45" s="290"/>
      <c r="O45" s="147">
        <f ca="1" t="shared" si="9"/>
      </c>
      <c r="P45" s="148">
        <f ca="1" t="shared" si="10"/>
      </c>
      <c r="Q45" s="290">
        <v>0</v>
      </c>
      <c r="R45" s="290">
        <v>0</v>
      </c>
      <c r="S45" s="290">
        <v>0</v>
      </c>
      <c r="T45" s="295"/>
      <c r="U45" s="290"/>
      <c r="V45" s="274" t="s">
        <v>184</v>
      </c>
      <c r="W45" s="279"/>
      <c r="X45" s="279"/>
      <c r="Y45" s="280"/>
      <c r="Z45" s="280"/>
      <c r="AA45" s="274" t="s">
        <v>184</v>
      </c>
      <c r="AB45" s="274"/>
      <c r="AC45" s="274" t="s">
        <v>184</v>
      </c>
      <c r="AD45" s="275"/>
      <c r="AE45" s="274" t="s">
        <v>916</v>
      </c>
      <c r="AF45" s="275"/>
      <c r="AG45" s="260" t="b">
        <f ca="1" t="shared" si="1"/>
        <v>0</v>
      </c>
      <c r="AH45" s="192">
        <f t="shared" si="8"/>
      </c>
      <c r="AI45" s="241">
        <f ca="1" t="shared" si="11"/>
      </c>
      <c r="AJ45" s="192">
        <f ca="1" t="shared" si="2"/>
      </c>
      <c r="AK45" s="192">
        <f ca="1" t="shared" si="3"/>
      </c>
      <c r="AL45" s="192">
        <f ca="1" t="shared" si="4"/>
        <v>0</v>
      </c>
      <c r="AM45" s="192">
        <f ca="1" t="shared" si="5"/>
      </c>
      <c r="AN45" s="192">
        <f ca="1" t="shared" si="6"/>
      </c>
      <c r="AO45" s="192">
        <f ca="1" t="shared" si="7"/>
      </c>
      <c r="AP45" s="192" t="b">
        <v>0</v>
      </c>
      <c r="AQ45" s="192" t="e">
        <f>CHOOSE(AH45,"Affaires",IF(Data!DP$2="agricole","Agricole","Affaires"),IF(Data!DP$2="Agricole","Industriel",Data!DP$2),IF(Data!DP$2="Agricole","Industriel",Data!DP$2),IF(Data!DP$2="Agricole","Agricole","Affaires"),IF(Data!DP$2="Transport","Transport","Affaires"),IF(Data!DP$2="Agricole","Industriel",Data!DP$2))</f>
        <v>#VALUE!</v>
      </c>
      <c r="AR45" s="192">
        <f ca="1">IF(C45="Gestion","1151000",IF(AND(C45="Émissions_Fugitives",D45="Optimisation réfrigération"),"1151210",IF(AND(C45="Conversion",D45="Bioénergies"),"1151240",IF(AND(C45="Conversion",D45="Solaires"),"1151202",INDEX(OFFSET(Type_Entreprise,,2,,),MATCH('1. Demande'!AI$76,Type_Entreprise,0))))))</f>
        <v>0</v>
      </c>
    </row>
    <row r="46" spans="1:44" ht="15.75" customHeight="1">
      <c r="A46" s="274"/>
      <c r="B46" s="275"/>
      <c r="C46" s="275" t="s">
        <v>184</v>
      </c>
      <c r="D46" s="275"/>
      <c r="E46" s="275" t="s">
        <v>184</v>
      </c>
      <c r="F46" s="275"/>
      <c r="G46" s="146">
        <f ca="1" t="shared" si="0"/>
      </c>
      <c r="H46" s="276"/>
      <c r="I46" s="277"/>
      <c r="J46" s="275"/>
      <c r="K46" s="278"/>
      <c r="L46" s="277"/>
      <c r="M46" s="164"/>
      <c r="N46" s="290"/>
      <c r="O46" s="147">
        <f ca="1" t="shared" si="9"/>
      </c>
      <c r="P46" s="148">
        <f ca="1" t="shared" si="10"/>
      </c>
      <c r="Q46" s="290">
        <v>0</v>
      </c>
      <c r="R46" s="290">
        <v>0</v>
      </c>
      <c r="S46" s="290">
        <v>0</v>
      </c>
      <c r="T46" s="295"/>
      <c r="U46" s="290"/>
      <c r="V46" s="274" t="s">
        <v>184</v>
      </c>
      <c r="W46" s="279"/>
      <c r="X46" s="279"/>
      <c r="Y46" s="280"/>
      <c r="Z46" s="280"/>
      <c r="AA46" s="274" t="s">
        <v>184</v>
      </c>
      <c r="AB46" s="274"/>
      <c r="AC46" s="274" t="s">
        <v>184</v>
      </c>
      <c r="AD46" s="275"/>
      <c r="AE46" s="274" t="s">
        <v>916</v>
      </c>
      <c r="AF46" s="275"/>
      <c r="AG46" s="260" t="b">
        <f ca="1" t="shared" si="1"/>
        <v>0</v>
      </c>
      <c r="AH46" s="192">
        <f t="shared" si="8"/>
      </c>
      <c r="AI46" s="241">
        <f ca="1" t="shared" si="11"/>
      </c>
      <c r="AJ46" s="192">
        <f ca="1" t="shared" si="2"/>
      </c>
      <c r="AK46" s="192">
        <f ca="1" t="shared" si="3"/>
      </c>
      <c r="AL46" s="192">
        <f ca="1" t="shared" si="4"/>
        <v>0</v>
      </c>
      <c r="AM46" s="192">
        <f ca="1" t="shared" si="5"/>
      </c>
      <c r="AN46" s="192">
        <f ca="1" t="shared" si="6"/>
      </c>
      <c r="AO46" s="192">
        <f ca="1" t="shared" si="7"/>
      </c>
      <c r="AP46" s="192" t="b">
        <v>0</v>
      </c>
      <c r="AQ46" s="192" t="e">
        <f>CHOOSE(AH46,"Affaires",IF(Data!DP$2="agricole","Agricole","Affaires"),IF(Data!DP$2="Agricole","Industriel",Data!DP$2),IF(Data!DP$2="Agricole","Industriel",Data!DP$2),IF(Data!DP$2="Agricole","Agricole","Affaires"),IF(Data!DP$2="Transport","Transport","Affaires"),IF(Data!DP$2="Agricole","Industriel",Data!DP$2))</f>
        <v>#VALUE!</v>
      </c>
      <c r="AR46" s="192">
        <f ca="1">IF(C46="Gestion","1151000",IF(AND(C46="Émissions_Fugitives",D46="Optimisation réfrigération"),"1151210",IF(AND(C46="Conversion",D46="Bioénergies"),"1151240",IF(AND(C46="Conversion",D46="Solaires"),"1151202",INDEX(OFFSET(Type_Entreprise,,2,,),MATCH('1. Demande'!AI$76,Type_Entreprise,0))))))</f>
        <v>0</v>
      </c>
    </row>
    <row r="47" spans="1:44" ht="15.75" customHeight="1">
      <c r="A47" s="274"/>
      <c r="B47" s="275"/>
      <c r="C47" s="275" t="s">
        <v>184</v>
      </c>
      <c r="D47" s="275"/>
      <c r="E47" s="275" t="s">
        <v>184</v>
      </c>
      <c r="F47" s="275"/>
      <c r="G47" s="146">
        <f ca="1" t="shared" si="0"/>
      </c>
      <c r="H47" s="276"/>
      <c r="I47" s="277"/>
      <c r="J47" s="275"/>
      <c r="K47" s="278"/>
      <c r="L47" s="277"/>
      <c r="M47" s="164"/>
      <c r="N47" s="290"/>
      <c r="O47" s="147">
        <f ca="1" t="shared" si="9"/>
      </c>
      <c r="P47" s="148">
        <f ca="1" t="shared" si="10"/>
      </c>
      <c r="Q47" s="290">
        <v>0</v>
      </c>
      <c r="R47" s="290">
        <v>0</v>
      </c>
      <c r="S47" s="290">
        <v>0</v>
      </c>
      <c r="T47" s="295"/>
      <c r="U47" s="290"/>
      <c r="V47" s="274" t="s">
        <v>184</v>
      </c>
      <c r="W47" s="279"/>
      <c r="X47" s="279"/>
      <c r="Y47" s="280"/>
      <c r="Z47" s="280"/>
      <c r="AA47" s="274" t="s">
        <v>184</v>
      </c>
      <c r="AB47" s="274"/>
      <c r="AC47" s="274" t="s">
        <v>184</v>
      </c>
      <c r="AD47" s="275"/>
      <c r="AE47" s="274" t="s">
        <v>916</v>
      </c>
      <c r="AF47" s="281"/>
      <c r="AG47" s="260" t="b">
        <f ca="1" t="shared" si="1"/>
        <v>0</v>
      </c>
      <c r="AH47" s="192">
        <f t="shared" si="8"/>
      </c>
      <c r="AI47" s="241">
        <f ca="1" t="shared" si="11"/>
      </c>
      <c r="AJ47" s="192">
        <f ca="1" t="shared" si="2"/>
      </c>
      <c r="AK47" s="192">
        <f ca="1" t="shared" si="3"/>
      </c>
      <c r="AL47" s="192">
        <f ca="1" t="shared" si="4"/>
        <v>0</v>
      </c>
      <c r="AM47" s="192">
        <f ca="1" t="shared" si="5"/>
      </c>
      <c r="AN47" s="192">
        <f ca="1" t="shared" si="6"/>
      </c>
      <c r="AO47" s="192">
        <f ca="1" t="shared" si="7"/>
      </c>
      <c r="AP47" s="192" t="b">
        <v>0</v>
      </c>
      <c r="AQ47" s="192" t="e">
        <f>CHOOSE(AH47,"Affaires",IF(Data!DP$2="agricole","Agricole","Affaires"),IF(Data!DP$2="Agricole","Industriel",Data!DP$2),IF(Data!DP$2="Agricole","Industriel",Data!DP$2),IF(Data!DP$2="Agricole","Agricole","Affaires"),IF(Data!DP$2="Transport","Transport","Affaires"),IF(Data!DP$2="Agricole","Industriel",Data!DP$2))</f>
        <v>#VALUE!</v>
      </c>
      <c r="AR47" s="192">
        <f ca="1">IF(C47="Gestion","1151000",IF(AND(C47="Émissions_Fugitives",D47="Optimisation réfrigération"),"1151210",IF(AND(C47="Conversion",D47="Bioénergies"),"1151240",IF(AND(C47="Conversion",D47="Solaires"),"1151202",INDEX(OFFSET(Type_Entreprise,,2,,),MATCH('1. Demande'!AI$76,Type_Entreprise,0))))))</f>
        <v>0</v>
      </c>
    </row>
    <row r="48" spans="1:44" ht="15.75" customHeight="1">
      <c r="A48" s="274"/>
      <c r="B48" s="275"/>
      <c r="C48" s="275" t="s">
        <v>184</v>
      </c>
      <c r="D48" s="275"/>
      <c r="E48" s="275" t="s">
        <v>184</v>
      </c>
      <c r="F48" s="275"/>
      <c r="G48" s="146">
        <f ca="1" t="shared" si="0"/>
      </c>
      <c r="H48" s="276"/>
      <c r="I48" s="277"/>
      <c r="J48" s="275"/>
      <c r="K48" s="278"/>
      <c r="L48" s="277"/>
      <c r="M48" s="164"/>
      <c r="N48" s="290"/>
      <c r="O48" s="147">
        <f ca="1" t="shared" si="9"/>
      </c>
      <c r="P48" s="148">
        <f ca="1" t="shared" si="10"/>
      </c>
      <c r="Q48" s="290">
        <v>0</v>
      </c>
      <c r="R48" s="290">
        <v>0</v>
      </c>
      <c r="S48" s="290">
        <v>0</v>
      </c>
      <c r="T48" s="295"/>
      <c r="U48" s="290"/>
      <c r="V48" s="274" t="s">
        <v>184</v>
      </c>
      <c r="W48" s="279"/>
      <c r="X48" s="279"/>
      <c r="Y48" s="280"/>
      <c r="Z48" s="280"/>
      <c r="AA48" s="274" t="s">
        <v>184</v>
      </c>
      <c r="AB48" s="274"/>
      <c r="AC48" s="274" t="s">
        <v>184</v>
      </c>
      <c r="AD48" s="275"/>
      <c r="AE48" s="274" t="s">
        <v>916</v>
      </c>
      <c r="AF48" s="275"/>
      <c r="AG48" s="260" t="b">
        <f ca="1" t="shared" si="1"/>
        <v>0</v>
      </c>
      <c r="AH48" s="192">
        <f t="shared" si="8"/>
      </c>
      <c r="AI48" s="241">
        <f ca="1" t="shared" si="11"/>
      </c>
      <c r="AJ48" s="192">
        <f ca="1" t="shared" si="2"/>
      </c>
      <c r="AK48" s="192">
        <f ca="1" t="shared" si="3"/>
      </c>
      <c r="AL48" s="192">
        <f ca="1" t="shared" si="4"/>
        <v>0</v>
      </c>
      <c r="AM48" s="192">
        <f ca="1" t="shared" si="5"/>
      </c>
      <c r="AN48" s="192">
        <f ca="1" t="shared" si="6"/>
      </c>
      <c r="AO48" s="192">
        <f ca="1" t="shared" si="7"/>
      </c>
      <c r="AP48" s="192" t="b">
        <v>0</v>
      </c>
      <c r="AQ48" s="192" t="e">
        <f>CHOOSE(AH48,"Affaires",IF(Data!DP$2="agricole","Agricole","Affaires"),IF(Data!DP$2="Agricole","Industriel",Data!DP$2),IF(Data!DP$2="Agricole","Industriel",Data!DP$2),IF(Data!DP$2="Agricole","Agricole","Affaires"),IF(Data!DP$2="Transport","Transport","Affaires"),IF(Data!DP$2="Agricole","Industriel",Data!DP$2))</f>
        <v>#VALUE!</v>
      </c>
      <c r="AR48" s="192">
        <f ca="1">IF(C48="Gestion","1151000",IF(AND(C48="Émissions_Fugitives",D48="Optimisation réfrigération"),"1151210",IF(AND(C48="Conversion",D48="Bioénergies"),"1151240",IF(AND(C48="Conversion",D48="Solaires"),"1151202",INDEX(OFFSET(Type_Entreprise,,2,,),MATCH('1. Demande'!AI$76,Type_Entreprise,0))))))</f>
        <v>0</v>
      </c>
    </row>
    <row r="49" spans="1:44" ht="15.75" customHeight="1" thickBot="1">
      <c r="A49" s="282"/>
      <c r="B49" s="283"/>
      <c r="C49" s="275" t="s">
        <v>184</v>
      </c>
      <c r="D49" s="275"/>
      <c r="E49" s="275" t="s">
        <v>184</v>
      </c>
      <c r="F49" s="275"/>
      <c r="G49" s="146">
        <f ca="1" t="shared" si="0"/>
      </c>
      <c r="H49" s="276"/>
      <c r="I49" s="284"/>
      <c r="J49" s="283"/>
      <c r="K49" s="285"/>
      <c r="L49" s="284"/>
      <c r="M49" s="165"/>
      <c r="N49" s="291"/>
      <c r="O49" s="147">
        <f ca="1" t="shared" si="9"/>
      </c>
      <c r="P49" s="148">
        <f ca="1" t="shared" si="10"/>
      </c>
      <c r="Q49" s="291">
        <v>0</v>
      </c>
      <c r="R49" s="291">
        <v>0</v>
      </c>
      <c r="S49" s="290">
        <v>0</v>
      </c>
      <c r="T49" s="295"/>
      <c r="U49" s="291"/>
      <c r="V49" s="274" t="s">
        <v>184</v>
      </c>
      <c r="W49" s="286"/>
      <c r="X49" s="286"/>
      <c r="Y49" s="287"/>
      <c r="Z49" s="287"/>
      <c r="AA49" s="274" t="s">
        <v>184</v>
      </c>
      <c r="AB49" s="282"/>
      <c r="AC49" s="274" t="s">
        <v>184</v>
      </c>
      <c r="AD49" s="283"/>
      <c r="AE49" s="274" t="s">
        <v>916</v>
      </c>
      <c r="AF49" s="283"/>
      <c r="AG49" s="260" t="b">
        <f ca="1" t="shared" si="1"/>
        <v>0</v>
      </c>
      <c r="AH49" s="192">
        <f t="shared" si="8"/>
      </c>
      <c r="AI49" s="241">
        <f ca="1" t="shared" si="11"/>
      </c>
      <c r="AJ49" s="192">
        <f ca="1" t="shared" si="2"/>
      </c>
      <c r="AK49" s="192">
        <f ca="1" t="shared" si="3"/>
      </c>
      <c r="AL49" s="192">
        <f ca="1" t="shared" si="4"/>
        <v>0</v>
      </c>
      <c r="AM49" s="192">
        <f ca="1" t="shared" si="5"/>
      </c>
      <c r="AN49" s="192">
        <f ca="1" t="shared" si="6"/>
      </c>
      <c r="AO49" s="192">
        <f ca="1" t="shared" si="7"/>
      </c>
      <c r="AP49" s="192" t="b">
        <v>0</v>
      </c>
      <c r="AQ49" s="192" t="e">
        <f>CHOOSE(AH49,"Affaires",IF(Data!DP$2="agricole","Agricole","Affaires"),IF(Data!DP$2="Agricole","Industriel",Data!DP$2),IF(Data!DP$2="Agricole","Industriel",Data!DP$2),IF(Data!DP$2="Agricole","Agricole","Affaires"),IF(Data!DP$2="Transport","Transport","Affaires"),IF(Data!DP$2="Agricole","Industriel",Data!DP$2))</f>
        <v>#VALUE!</v>
      </c>
      <c r="AR49" s="192">
        <f ca="1">IF(C49="Gestion","1151000",IF(AND(C49="Émissions_Fugitives",D49="Optimisation réfrigération"),"1151210",IF(AND(C49="Conversion",D49="Bioénergies"),"1151240",IF(AND(C49="Conversion",D49="Solaires"),"1151202",INDEX(OFFSET(Type_Entreprise,,2,,),MATCH('1. Demande'!AI$76,Type_Entreprise,0))))))</f>
        <v>0</v>
      </c>
    </row>
    <row r="50" spans="1:33" ht="13.5" thickTop="1">
      <c r="A50" s="140"/>
      <c r="B50" s="46"/>
      <c r="C50" s="45" t="s">
        <v>125</v>
      </c>
      <c r="D50" s="140"/>
      <c r="E50" s="140"/>
      <c r="F50" s="46"/>
      <c r="G50" s="46"/>
      <c r="H50" s="46"/>
      <c r="I50" s="203"/>
      <c r="J50" s="203"/>
      <c r="K50" s="203"/>
      <c r="L50" s="203"/>
      <c r="M50" s="204"/>
      <c r="N50" s="292" t="e">
        <f aca="true" t="shared" si="12" ref="N50:U50">SUM(N16:N49)</f>
        <v>#N/A</v>
      </c>
      <c r="O50" s="149" t="e">
        <f t="shared" si="12"/>
        <v>#N/A</v>
      </c>
      <c r="P50" s="150" t="e">
        <f t="shared" si="12"/>
        <v>#N/A</v>
      </c>
      <c r="Q50" s="292">
        <f t="shared" si="12"/>
        <v>0</v>
      </c>
      <c r="R50" s="292" t="e">
        <f t="shared" si="12"/>
        <v>#N/A</v>
      </c>
      <c r="S50" s="292" t="e">
        <f t="shared" si="12"/>
        <v>#N/A</v>
      </c>
      <c r="T50" s="292" t="e">
        <f t="shared" si="12"/>
        <v>#N/A</v>
      </c>
      <c r="U50" s="292" t="e">
        <f t="shared" si="12"/>
        <v>#N/A</v>
      </c>
      <c r="V50" s="46"/>
      <c r="W50" s="46"/>
      <c r="X50" s="46"/>
      <c r="Y50" s="46"/>
      <c r="Z50" s="46"/>
      <c r="AA50" s="47"/>
      <c r="AB50" s="47"/>
      <c r="AC50" s="47"/>
      <c r="AD50" s="46"/>
      <c r="AE50" s="48"/>
      <c r="AF50" s="46"/>
      <c r="AG50" s="261"/>
    </row>
    <row r="51" spans="1:44" s="42" customFormat="1" ht="12.75">
      <c r="A51" s="156"/>
      <c r="B51" s="157"/>
      <c r="C51" s="156"/>
      <c r="D51" s="156"/>
      <c r="E51" s="156"/>
      <c r="F51" s="157"/>
      <c r="G51" s="157"/>
      <c r="H51" s="157"/>
      <c r="I51" s="205"/>
      <c r="J51" s="205"/>
      <c r="K51" s="205"/>
      <c r="L51" s="205"/>
      <c r="M51" s="158"/>
      <c r="N51" s="158"/>
      <c r="O51" s="159"/>
      <c r="P51" s="160"/>
      <c r="Q51" s="158"/>
      <c r="R51" s="158"/>
      <c r="S51" s="158"/>
      <c r="T51" s="158"/>
      <c r="U51" s="158"/>
      <c r="V51" s="157"/>
      <c r="W51" s="157"/>
      <c r="X51" s="157"/>
      <c r="Y51" s="157"/>
      <c r="Z51" s="157"/>
      <c r="AA51" s="161"/>
      <c r="AB51" s="161"/>
      <c r="AC51" s="161"/>
      <c r="AD51" s="157"/>
      <c r="AE51" s="162"/>
      <c r="AF51" s="157"/>
      <c r="AG51" s="157"/>
      <c r="AH51" s="242"/>
      <c r="AI51" s="242"/>
      <c r="AJ51" s="242"/>
      <c r="AK51" s="242"/>
      <c r="AL51" s="242"/>
      <c r="AM51" s="242"/>
      <c r="AN51" s="242"/>
      <c r="AO51" s="242"/>
      <c r="AP51" s="242"/>
      <c r="AQ51" s="242"/>
      <c r="AR51" s="242"/>
    </row>
    <row r="52" spans="1:33" ht="12.75">
      <c r="A52" s="49" t="s">
        <v>449</v>
      </c>
      <c r="B52" s="44"/>
      <c r="F52" s="44"/>
      <c r="G52" s="44"/>
      <c r="H52" s="44"/>
      <c r="I52" s="44"/>
      <c r="J52" s="44"/>
      <c r="K52" s="44"/>
      <c r="L52" s="44"/>
      <c r="M52" s="44"/>
      <c r="N52" s="44"/>
      <c r="O52" s="44"/>
      <c r="P52" s="44"/>
      <c r="Q52" s="44"/>
      <c r="R52" s="49" t="s">
        <v>490</v>
      </c>
      <c r="S52" s="44"/>
      <c r="T52" s="44"/>
      <c r="U52" s="44"/>
      <c r="V52" s="49" t="s">
        <v>573</v>
      </c>
      <c r="X52" s="44"/>
      <c r="Y52" s="44"/>
      <c r="Z52" s="44"/>
      <c r="AA52" s="44"/>
      <c r="AB52" s="44"/>
      <c r="AC52" s="50"/>
      <c r="AD52" s="50"/>
      <c r="AE52" s="50"/>
      <c r="AF52" s="155" t="s">
        <v>464</v>
      </c>
      <c r="AG52" s="155"/>
    </row>
    <row r="53" spans="1:33" ht="12.75">
      <c r="A53" s="49" t="s">
        <v>163</v>
      </c>
      <c r="B53" s="44"/>
      <c r="F53" s="44"/>
      <c r="G53" s="44"/>
      <c r="H53" s="44"/>
      <c r="I53" s="44"/>
      <c r="J53" s="44"/>
      <c r="K53" s="44"/>
      <c r="L53" s="44"/>
      <c r="M53" s="44"/>
      <c r="N53" s="44"/>
      <c r="O53" s="44"/>
      <c r="P53" s="44"/>
      <c r="Q53" s="44"/>
      <c r="R53" s="84" t="s">
        <v>456</v>
      </c>
      <c r="S53" s="44"/>
      <c r="T53" s="44"/>
      <c r="U53" s="44"/>
      <c r="V53" s="84" t="s">
        <v>459</v>
      </c>
      <c r="W53" s="44"/>
      <c r="X53" s="44"/>
      <c r="Y53" s="44"/>
      <c r="Z53" s="44"/>
      <c r="AA53" s="44"/>
      <c r="AB53" s="44"/>
      <c r="AC53" s="50"/>
      <c r="AD53" s="50"/>
      <c r="AE53" s="50"/>
      <c r="AF53" s="50"/>
      <c r="AG53" s="50"/>
    </row>
    <row r="54" spans="1:33" ht="12.75">
      <c r="A54" s="33" t="s">
        <v>34</v>
      </c>
      <c r="B54" s="44"/>
      <c r="F54" s="44"/>
      <c r="G54" s="44"/>
      <c r="H54" s="44"/>
      <c r="I54" s="44"/>
      <c r="J54" s="44"/>
      <c r="K54" s="44"/>
      <c r="L54" s="44"/>
      <c r="M54" s="44"/>
      <c r="N54" s="44"/>
      <c r="O54" s="44"/>
      <c r="P54" s="44"/>
      <c r="Q54" s="44"/>
      <c r="R54" s="84" t="s">
        <v>457</v>
      </c>
      <c r="S54" s="44"/>
      <c r="T54" s="44"/>
      <c r="U54" s="44"/>
      <c r="V54" s="84" t="s">
        <v>460</v>
      </c>
      <c r="W54" s="50"/>
      <c r="X54" s="50"/>
      <c r="Y54" s="50"/>
      <c r="Z54" s="50"/>
      <c r="AA54" s="50"/>
      <c r="AB54" s="50"/>
      <c r="AC54" s="49"/>
      <c r="AD54" s="50"/>
      <c r="AE54" s="50"/>
      <c r="AF54" s="50"/>
      <c r="AG54" s="50"/>
    </row>
    <row r="55" spans="1:33" ht="12.75">
      <c r="A55" s="49" t="s">
        <v>451</v>
      </c>
      <c r="J55" s="44"/>
      <c r="K55" s="44"/>
      <c r="L55" s="44"/>
      <c r="M55" s="44"/>
      <c r="N55" s="44"/>
      <c r="O55" s="44"/>
      <c r="P55" s="44"/>
      <c r="Q55" s="44"/>
      <c r="R55" s="84" t="s">
        <v>458</v>
      </c>
      <c r="S55" s="44"/>
      <c r="T55" s="44"/>
      <c r="U55" s="44"/>
      <c r="V55" s="84" t="s">
        <v>35</v>
      </c>
      <c r="W55" s="51"/>
      <c r="X55" s="51"/>
      <c r="Y55" s="51"/>
      <c r="Z55" s="51"/>
      <c r="AA55" s="51"/>
      <c r="AB55" s="51"/>
      <c r="AC55" s="49"/>
      <c r="AD55" s="51"/>
      <c r="AE55" s="51"/>
      <c r="AF55" s="51"/>
      <c r="AG55" s="51"/>
    </row>
    <row r="56" spans="1:33" ht="12.75">
      <c r="A56" s="49" t="s">
        <v>164</v>
      </c>
      <c r="B56" s="30"/>
      <c r="F56" s="30"/>
      <c r="G56" s="30"/>
      <c r="H56" s="30"/>
      <c r="J56" s="44"/>
      <c r="K56" s="44"/>
      <c r="L56" s="44"/>
      <c r="M56" s="44"/>
      <c r="N56" s="44"/>
      <c r="O56" s="44"/>
      <c r="P56" s="44"/>
      <c r="Q56" s="44"/>
      <c r="S56" s="44"/>
      <c r="T56" s="44"/>
      <c r="U56" s="44"/>
      <c r="V56" s="84" t="s">
        <v>461</v>
      </c>
      <c r="W56" s="51"/>
      <c r="X56" s="51"/>
      <c r="Y56" s="51"/>
      <c r="Z56" s="51"/>
      <c r="AA56" s="51"/>
      <c r="AB56" s="51"/>
      <c r="AC56" s="49"/>
      <c r="AD56" s="51"/>
      <c r="AE56" s="51"/>
      <c r="AF56" s="51"/>
      <c r="AG56" s="51"/>
    </row>
    <row r="57" spans="1:33" ht="12.75">
      <c r="A57" s="49" t="s">
        <v>165</v>
      </c>
      <c r="B57" s="35"/>
      <c r="F57" s="35"/>
      <c r="G57" s="35"/>
      <c r="H57" s="35"/>
      <c r="I57" s="30"/>
      <c r="J57" s="44"/>
      <c r="K57" s="44"/>
      <c r="L57" s="44"/>
      <c r="M57" s="44"/>
      <c r="N57" s="44"/>
      <c r="O57" s="44"/>
      <c r="P57" s="44"/>
      <c r="Q57" s="44"/>
      <c r="S57" s="44"/>
      <c r="T57" s="44"/>
      <c r="U57" s="44"/>
      <c r="V57" s="84" t="s">
        <v>462</v>
      </c>
      <c r="W57" s="44"/>
      <c r="X57" s="44"/>
      <c r="Y57" s="44"/>
      <c r="Z57" s="44"/>
      <c r="AA57" s="44"/>
      <c r="AB57" s="52"/>
      <c r="AC57" s="52"/>
      <c r="AD57" s="52"/>
      <c r="AE57" s="44"/>
      <c r="AF57" s="44"/>
      <c r="AG57" s="44"/>
    </row>
    <row r="58" spans="1:33" ht="12.75">
      <c r="A58" s="49" t="s">
        <v>574</v>
      </c>
      <c r="J58" s="44"/>
      <c r="K58" s="44"/>
      <c r="L58" s="44"/>
      <c r="M58" s="44"/>
      <c r="N58" s="44"/>
      <c r="O58" s="44"/>
      <c r="P58" s="44"/>
      <c r="Q58" s="44"/>
      <c r="S58" s="44"/>
      <c r="T58" s="44"/>
      <c r="U58" s="44"/>
      <c r="W58" s="44"/>
      <c r="X58" s="44"/>
      <c r="Y58" s="44"/>
      <c r="Z58" s="44"/>
      <c r="AA58" s="44"/>
      <c r="AB58" s="52"/>
      <c r="AC58" s="52"/>
      <c r="AD58" s="52"/>
      <c r="AE58" s="44"/>
      <c r="AF58" s="44"/>
      <c r="AG58" s="44"/>
    </row>
    <row r="59" spans="10:33" ht="12.75">
      <c r="J59" s="49"/>
      <c r="K59" s="44"/>
      <c r="L59" s="44"/>
      <c r="M59" s="44"/>
      <c r="N59" s="44"/>
      <c r="O59" s="44"/>
      <c r="P59" s="44"/>
      <c r="Q59" s="44"/>
      <c r="S59" s="44"/>
      <c r="T59" s="44"/>
      <c r="U59" s="44"/>
      <c r="W59" s="44"/>
      <c r="X59" s="44"/>
      <c r="Y59" s="44"/>
      <c r="Z59" s="44"/>
      <c r="AA59" s="44"/>
      <c r="AB59" s="52"/>
      <c r="AC59" s="52"/>
      <c r="AD59" s="52"/>
      <c r="AE59" s="44"/>
      <c r="AF59" s="44"/>
      <c r="AG59" s="44"/>
    </row>
  </sheetData>
  <sheetProtection password="E71A" sheet="1" objects="1" scenarios="1" selectLockedCells="1" selectUnlockedCells="1"/>
  <mergeCells count="40">
    <mergeCell ref="W13:W14"/>
    <mergeCell ref="U12:V12"/>
    <mergeCell ref="T13:T14"/>
    <mergeCell ref="L13:L14"/>
    <mergeCell ref="A12:A14"/>
    <mergeCell ref="B12:B14"/>
    <mergeCell ref="F13:F14"/>
    <mergeCell ref="I13:I14"/>
    <mergeCell ref="F12:K12"/>
    <mergeCell ref="H13:H14"/>
    <mergeCell ref="Y12:Y14"/>
    <mergeCell ref="P13:P14"/>
    <mergeCell ref="Q13:S13"/>
    <mergeCell ref="AC11:AF11"/>
    <mergeCell ref="Q12:T12"/>
    <mergeCell ref="AF12:AF14"/>
    <mergeCell ref="AB12:AB14"/>
    <mergeCell ref="AD12:AD14"/>
    <mergeCell ref="Z12:Z14"/>
    <mergeCell ref="AC12:AC14"/>
    <mergeCell ref="N13:N14"/>
    <mergeCell ref="G13:G14"/>
    <mergeCell ref="W12:X12"/>
    <mergeCell ref="L12:P12"/>
    <mergeCell ref="AE12:AE14"/>
    <mergeCell ref="M13:M14"/>
    <mergeCell ref="U13:U14"/>
    <mergeCell ref="V13:V14"/>
    <mergeCell ref="AA12:AA14"/>
    <mergeCell ref="X13:X14"/>
    <mergeCell ref="C8:G8"/>
    <mergeCell ref="C9:D9"/>
    <mergeCell ref="C12:C14"/>
    <mergeCell ref="K13:K14"/>
    <mergeCell ref="AB8:AF8"/>
    <mergeCell ref="AB9:AC9"/>
    <mergeCell ref="E12:E14"/>
    <mergeCell ref="D12:D14"/>
    <mergeCell ref="J13:J14"/>
    <mergeCell ref="O13:O14"/>
  </mergeCells>
  <conditionalFormatting sqref="P16:P49">
    <cfRule type="expression" priority="1" dxfId="12" stopIfTrue="1">
      <formula>IF(AND(C16="OPTER",P16&lt;INDEX(OFFSET(INDIRECT($C16),,1,,),MATCH(D16,INDIRECT($C16),0))),TRUE,FALSE)</formula>
    </cfRule>
  </conditionalFormatting>
  <conditionalFormatting sqref="E16:E49">
    <cfRule type="expression" priority="2" dxfId="0" stopIfTrue="1">
      <formula>IF(AND(L16="",E16="Choisir…"),TRUE,FALSE)</formula>
    </cfRule>
    <cfRule type="expression" priority="3" dxfId="7" stopIfTrue="1">
      <formula>IF(AND(L16&lt;&gt;"",F16="",E16="Choisir…"),TRUE,FALSE)</formula>
    </cfRule>
  </conditionalFormatting>
  <conditionalFormatting sqref="F16:F49">
    <cfRule type="expression" priority="4" dxfId="0" stopIfTrue="1">
      <formula>IF(AND(L16="",F16=""),TRUE,FALSE)</formula>
    </cfRule>
    <cfRule type="expression" priority="5" dxfId="7" stopIfTrue="1">
      <formula>IF(AND(L16&lt;&gt;"",F16=""),TRUE,FALSE)</formula>
    </cfRule>
  </conditionalFormatting>
  <conditionalFormatting sqref="H16:H49">
    <cfRule type="expression" priority="6" dxfId="7" stopIfTrue="1">
      <formula>IF(AND(E16="Énergie",H16="",IF(F16&lt;&gt;"",INDEX(OFFSET(Énergie,,8,,),MATCH(F16,Énergie,0))&lt;&gt;"",FALSE)),TRUE,FALSE)</formula>
    </cfRule>
    <cfRule type="expression" priority="7" dxfId="6" stopIfTrue="1">
      <formula>IF(AND(E16="Énergie",H16&lt;&gt;"",IF(F16&lt;&gt;"",INDEX(OFFSET(Énergie,,8,,),MATCH(F16,Énergie,0))&lt;&gt;"",FALSE)),TRUE,FALSE)</formula>
    </cfRule>
    <cfRule type="expression" priority="8" dxfId="5"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19 D22:D49">
      <formula1>INDIRECT(C16)</formula1>
    </dataValidation>
    <dataValidation type="list" allowBlank="1" showInputMessage="1" showErrorMessage="1" sqref="F16:F18 F22:F49">
      <formula1>IF(E16="Énergie",Énergie,IF(E16="Fugitive",PRP,""))</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scale="55" r:id="rId1"/>
  <headerFooter alignWithMargins="0">
    <oddFooter>&amp;LTransition énergétique Québec</oddFooter>
  </headerFooter>
</worksheet>
</file>

<file path=xl/worksheets/sheet7.xml><?xml version="1.0" encoding="utf-8"?>
<worksheet xmlns="http://schemas.openxmlformats.org/spreadsheetml/2006/main" xmlns:r="http://schemas.openxmlformats.org/officeDocument/2006/relationships">
  <sheetPr codeName="Feuil3">
    <pageSetUpPr fitToPage="1"/>
  </sheetPr>
  <dimension ref="A3:AA201"/>
  <sheetViews>
    <sheetView zoomScalePageLayoutView="0" workbookViewId="0" topLeftCell="A1">
      <selection activeCell="H38" sqref="H38"/>
    </sheetView>
  </sheetViews>
  <sheetFormatPr defaultColWidth="11.421875" defaultRowHeight="12.75"/>
  <cols>
    <col min="1" max="1" width="26.8515625" style="97" customWidth="1"/>
    <col min="2" max="2" width="40.7109375" style="97" customWidth="1"/>
    <col min="3" max="4" width="16.140625" style="97" customWidth="1"/>
    <col min="5" max="6" width="16.140625" style="124" customWidth="1"/>
    <col min="7" max="7" width="16.140625" style="97" customWidth="1"/>
    <col min="8" max="9" width="16.140625" style="124" customWidth="1"/>
    <col min="10" max="10" width="17.421875" style="124" customWidth="1"/>
    <col min="11" max="12" width="16.140625" style="124" customWidth="1"/>
    <col min="13" max="13" width="10.7109375" style="318" customWidth="1"/>
    <col min="14" max="14" width="10.7109375" style="125" customWidth="1"/>
    <col min="15" max="15" width="16.140625" style="124" customWidth="1"/>
    <col min="16" max="16" width="10.7109375" style="318" customWidth="1"/>
    <col min="17" max="17" width="10.7109375" style="125" customWidth="1"/>
    <col min="18" max="18" width="16.140625" style="124" customWidth="1"/>
    <col min="19" max="19" width="37.7109375" style="97" customWidth="1"/>
    <col min="20" max="16384" width="11.421875" style="97" customWidth="1"/>
  </cols>
  <sheetData>
    <row r="3" spans="2:27" ht="27" customHeight="1">
      <c r="B3" s="317" t="s">
        <v>965</v>
      </c>
      <c r="U3" s="319"/>
      <c r="V3" s="1013" t="s">
        <v>966</v>
      </c>
      <c r="W3" s="1013"/>
      <c r="X3" s="1013"/>
      <c r="Y3" s="1013" t="s">
        <v>967</v>
      </c>
      <c r="Z3" s="1013"/>
      <c r="AA3" s="1013"/>
    </row>
    <row r="4" spans="21:27" ht="12.75" customHeight="1">
      <c r="U4" s="319"/>
      <c r="V4" s="319" t="s">
        <v>968</v>
      </c>
      <c r="W4" s="319" t="s">
        <v>969</v>
      </c>
      <c r="X4" s="319" t="s">
        <v>970</v>
      </c>
      <c r="Y4" s="319" t="s">
        <v>968</v>
      </c>
      <c r="Z4" s="319" t="s">
        <v>969</v>
      </c>
      <c r="AA4" s="319" t="s">
        <v>970</v>
      </c>
    </row>
    <row r="5" spans="1:27" ht="26.25">
      <c r="A5" s="126"/>
      <c r="U5" s="319" t="str">
        <f>A16</f>
        <v>A. Acquisition équipement/matériel</v>
      </c>
      <c r="V5" s="320">
        <f>F28</f>
        <v>0</v>
      </c>
      <c r="W5" s="320">
        <f>E28</f>
        <v>0</v>
      </c>
      <c r="X5" s="320">
        <f aca="true" t="shared" si="0" ref="X5:X10">V5+W5</f>
        <v>0</v>
      </c>
      <c r="Y5" s="320">
        <f>I28</f>
        <v>0</v>
      </c>
      <c r="Z5" s="320">
        <f>H28</f>
        <v>0</v>
      </c>
      <c r="AA5" s="320">
        <f aca="true" t="shared" si="1" ref="AA5:AA10">Y5+Z5</f>
        <v>0</v>
      </c>
    </row>
    <row r="6" spans="1:27" ht="15" customHeight="1">
      <c r="A6" s="126"/>
      <c r="U6" s="319" t="str">
        <f>A30</f>
        <v>B. Acquisition de l'équipement de mesurage</v>
      </c>
      <c r="V6" s="320">
        <f>F40</f>
        <v>0</v>
      </c>
      <c r="W6" s="320">
        <f>E40</f>
        <v>0</v>
      </c>
      <c r="X6" s="320">
        <f t="shared" si="0"/>
        <v>0</v>
      </c>
      <c r="Y6" s="320">
        <f>I40</f>
        <v>0</v>
      </c>
      <c r="Z6" s="320">
        <f>H40</f>
        <v>0</v>
      </c>
      <c r="AA6" s="320">
        <f t="shared" si="1"/>
        <v>0</v>
      </c>
    </row>
    <row r="7" spans="1:27" ht="12.75">
      <c r="A7" s="321" t="s">
        <v>146</v>
      </c>
      <c r="B7" s="1014">
        <f>IF('1. Demande'!H11="","",'1. Demande'!H11)</f>
      </c>
      <c r="C7" s="1014"/>
      <c r="D7" s="127"/>
      <c r="E7" s="128"/>
      <c r="F7" s="128"/>
      <c r="G7" s="127"/>
      <c r="H7" s="322"/>
      <c r="I7" s="322"/>
      <c r="K7" s="323" t="s">
        <v>233</v>
      </c>
      <c r="L7" s="1015" t="str">
        <f>IF('2. Plan d''implantation'!AB8="","",'2. Plan d''implantation'!AB8)</f>
        <v> </v>
      </c>
      <c r="M7" s="1015"/>
      <c r="N7" s="1015"/>
      <c r="O7" s="1015"/>
      <c r="P7" s="1015"/>
      <c r="U7" s="319" t="str">
        <f>A42</f>
        <v>C. Mesurage, quantification et vérification</v>
      </c>
      <c r="V7" s="320">
        <f>F48</f>
        <v>0</v>
      </c>
      <c r="W7" s="320">
        <f>E48</f>
        <v>0</v>
      </c>
      <c r="X7" s="320">
        <f t="shared" si="0"/>
        <v>0</v>
      </c>
      <c r="Y7" s="320">
        <f>I48</f>
        <v>0</v>
      </c>
      <c r="Z7" s="320">
        <f>H48</f>
        <v>0</v>
      </c>
      <c r="AA7" s="320">
        <f t="shared" si="1"/>
        <v>0</v>
      </c>
    </row>
    <row r="8" spans="1:27" ht="12.75">
      <c r="A8" s="321" t="s">
        <v>232</v>
      </c>
      <c r="B8" s="867">
        <f>IF('2. Plan d''implantation'!C9="","",'2. Plan d''implantation'!C9)</f>
      </c>
      <c r="C8" s="867"/>
      <c r="D8" s="127"/>
      <c r="E8" s="128"/>
      <c r="F8" s="128"/>
      <c r="G8" s="127"/>
      <c r="H8" s="324"/>
      <c r="I8" s="324"/>
      <c r="O8" s="322"/>
      <c r="U8" s="319" t="str">
        <f>A50</f>
        <v>D. Ingénierie ou services professionnels</v>
      </c>
      <c r="V8" s="320">
        <f>F56</f>
        <v>0</v>
      </c>
      <c r="W8" s="320">
        <f>E56</f>
        <v>0</v>
      </c>
      <c r="X8" s="320">
        <f t="shared" si="0"/>
        <v>0</v>
      </c>
      <c r="Y8" s="320">
        <f>I56</f>
        <v>0</v>
      </c>
      <c r="Z8" s="320">
        <f>H56</f>
        <v>0</v>
      </c>
      <c r="AA8" s="320">
        <f t="shared" si="1"/>
        <v>0</v>
      </c>
    </row>
    <row r="9" spans="1:27" ht="12.75">
      <c r="A9" s="321" t="s">
        <v>971</v>
      </c>
      <c r="B9" s="867"/>
      <c r="C9" s="867"/>
      <c r="D9" s="127"/>
      <c r="E9" s="128"/>
      <c r="F9" s="128"/>
      <c r="G9" s="127"/>
      <c r="H9" s="324"/>
      <c r="I9" s="324"/>
      <c r="O9" s="322"/>
      <c r="U9" s="319" t="str">
        <f>A58</f>
        <v>E. Installation et mise en fonction</v>
      </c>
      <c r="V9" s="320">
        <f>F64</f>
        <v>0</v>
      </c>
      <c r="W9" s="320">
        <f>E64</f>
        <v>0</v>
      </c>
      <c r="X9" s="320">
        <f t="shared" si="0"/>
        <v>0</v>
      </c>
      <c r="Y9" s="320">
        <f>I64</f>
        <v>0</v>
      </c>
      <c r="Z9" s="320">
        <f>H64</f>
        <v>0</v>
      </c>
      <c r="AA9" s="320">
        <f t="shared" si="1"/>
        <v>0</v>
      </c>
    </row>
    <row r="10" spans="1:27" ht="10.5" customHeight="1">
      <c r="A10" s="325"/>
      <c r="B10" s="326"/>
      <c r="C10" s="326"/>
      <c r="D10" s="326"/>
      <c r="E10" s="327"/>
      <c r="F10" s="327"/>
      <c r="G10" s="326"/>
      <c r="H10" s="327"/>
      <c r="I10" s="327"/>
      <c r="J10" s="327"/>
      <c r="K10" s="327"/>
      <c r="L10" s="327"/>
      <c r="M10" s="328"/>
      <c r="N10" s="329"/>
      <c r="O10" s="327"/>
      <c r="P10" s="328"/>
      <c r="Q10" s="329"/>
      <c r="R10" s="327"/>
      <c r="S10" s="326"/>
      <c r="U10" s="319" t="str">
        <f>A66</f>
        <v>F. Contingences</v>
      </c>
      <c r="V10" s="320">
        <f>F71</f>
        <v>0</v>
      </c>
      <c r="W10" s="320">
        <f>E71</f>
        <v>0</v>
      </c>
      <c r="X10" s="320">
        <f t="shared" si="0"/>
        <v>0</v>
      </c>
      <c r="Y10" s="320">
        <f>I71</f>
        <v>0</v>
      </c>
      <c r="Z10" s="320">
        <f>H71</f>
        <v>0</v>
      </c>
      <c r="AA10" s="320">
        <f t="shared" si="1"/>
        <v>0</v>
      </c>
    </row>
    <row r="11" spans="1:19" ht="13.5" customHeight="1" thickBot="1">
      <c r="A11" s="330"/>
      <c r="B11" s="330"/>
      <c r="C11" s="330"/>
      <c r="D11" s="330"/>
      <c r="E11" s="331"/>
      <c r="F11" s="331"/>
      <c r="G11" s="330"/>
      <c r="H11" s="331"/>
      <c r="I11" s="331"/>
      <c r="J11" s="331"/>
      <c r="K11" s="331"/>
      <c r="L11" s="331"/>
      <c r="M11" s="332"/>
      <c r="N11" s="333"/>
      <c r="O11" s="331"/>
      <c r="P11" s="332"/>
      <c r="Q11" s="333"/>
      <c r="R11" s="331"/>
      <c r="S11" s="330"/>
    </row>
    <row r="12" spans="1:19" ht="22.5" customHeight="1" thickBot="1">
      <c r="A12" s="1022" t="s">
        <v>972</v>
      </c>
      <c r="B12" s="1023"/>
      <c r="C12" s="1023"/>
      <c r="D12" s="1023"/>
      <c r="E12" s="1023"/>
      <c r="F12" s="1023"/>
      <c r="G12" s="1023"/>
      <c r="H12" s="1023"/>
      <c r="I12" s="1023"/>
      <c r="J12" s="1024"/>
      <c r="K12" s="1023" t="s">
        <v>973</v>
      </c>
      <c r="L12" s="1023"/>
      <c r="M12" s="1023"/>
      <c r="N12" s="1023"/>
      <c r="O12" s="1023"/>
      <c r="P12" s="1023"/>
      <c r="Q12" s="1023"/>
      <c r="R12" s="1023"/>
      <c r="S12" s="1025"/>
    </row>
    <row r="13" spans="1:19" s="336" customFormat="1" ht="13.5" customHeight="1" thickBot="1">
      <c r="A13" s="334">
        <v>1</v>
      </c>
      <c r="B13" s="334">
        <v>2</v>
      </c>
      <c r="C13" s="334">
        <v>3</v>
      </c>
      <c r="D13" s="1026">
        <v>4</v>
      </c>
      <c r="E13" s="1027"/>
      <c r="F13" s="1028"/>
      <c r="G13" s="1029">
        <v>5</v>
      </c>
      <c r="H13" s="1030"/>
      <c r="I13" s="1030"/>
      <c r="J13" s="335">
        <v>6</v>
      </c>
      <c r="K13" s="1027">
        <v>7</v>
      </c>
      <c r="L13" s="1028"/>
      <c r="M13" s="1026">
        <v>8</v>
      </c>
      <c r="N13" s="1027"/>
      <c r="O13" s="1028"/>
      <c r="P13" s="1026">
        <v>9</v>
      </c>
      <c r="Q13" s="1027"/>
      <c r="R13" s="1028"/>
      <c r="S13" s="334">
        <v>10</v>
      </c>
    </row>
    <row r="14" spans="1:19" ht="12.75">
      <c r="A14" s="1041" t="s">
        <v>974</v>
      </c>
      <c r="B14" s="1043" t="s">
        <v>975</v>
      </c>
      <c r="C14" s="337" t="s">
        <v>976</v>
      </c>
      <c r="D14" s="1045" t="s">
        <v>977</v>
      </c>
      <c r="E14" s="1046"/>
      <c r="F14" s="1047"/>
      <c r="G14" s="1016" t="s">
        <v>978</v>
      </c>
      <c r="H14" s="1017"/>
      <c r="I14" s="1018"/>
      <c r="J14" s="1019" t="s">
        <v>979</v>
      </c>
      <c r="K14" s="1021" t="s">
        <v>980</v>
      </c>
      <c r="L14" s="1021"/>
      <c r="M14" s="1033" t="s">
        <v>981</v>
      </c>
      <c r="N14" s="1034"/>
      <c r="O14" s="1035"/>
      <c r="P14" s="1016" t="s">
        <v>982</v>
      </c>
      <c r="Q14" s="1017"/>
      <c r="R14" s="1018"/>
      <c r="S14" s="1036" t="s">
        <v>983</v>
      </c>
    </row>
    <row r="15" spans="1:19" ht="42.75" customHeight="1">
      <c r="A15" s="1042"/>
      <c r="B15" s="1044"/>
      <c r="C15" s="338" t="s">
        <v>984</v>
      </c>
      <c r="D15" s="339" t="s">
        <v>985</v>
      </c>
      <c r="E15" s="340" t="s">
        <v>986</v>
      </c>
      <c r="F15" s="341" t="s">
        <v>987</v>
      </c>
      <c r="G15" s="339" t="s">
        <v>985</v>
      </c>
      <c r="H15" s="340" t="s">
        <v>986</v>
      </c>
      <c r="I15" s="342" t="s">
        <v>987</v>
      </c>
      <c r="J15" s="1020"/>
      <c r="K15" s="343" t="s">
        <v>986</v>
      </c>
      <c r="L15" s="344" t="s">
        <v>987</v>
      </c>
      <c r="M15" s="345" t="s">
        <v>988</v>
      </c>
      <c r="N15" s="346" t="s">
        <v>989</v>
      </c>
      <c r="O15" s="347" t="s">
        <v>990</v>
      </c>
      <c r="P15" s="348" t="s">
        <v>991</v>
      </c>
      <c r="Q15" s="346" t="s">
        <v>117</v>
      </c>
      <c r="R15" s="347" t="s">
        <v>992</v>
      </c>
      <c r="S15" s="1037"/>
    </row>
    <row r="16" spans="1:19" ht="12.75">
      <c r="A16" s="1038" t="s">
        <v>955</v>
      </c>
      <c r="B16" s="1039"/>
      <c r="C16" s="1039"/>
      <c r="D16" s="1039"/>
      <c r="E16" s="1039"/>
      <c r="F16" s="1039"/>
      <c r="G16" s="1039"/>
      <c r="H16" s="1039"/>
      <c r="I16" s="1039"/>
      <c r="J16" s="1039"/>
      <c r="K16" s="1039"/>
      <c r="L16" s="1039"/>
      <c r="M16" s="1039"/>
      <c r="N16" s="1039"/>
      <c r="O16" s="1039"/>
      <c r="P16" s="1039"/>
      <c r="Q16" s="1039"/>
      <c r="R16" s="1039"/>
      <c r="S16" s="1040"/>
    </row>
    <row r="17" spans="1:19" ht="12.75">
      <c r="A17" s="349"/>
      <c r="B17" s="350"/>
      <c r="C17" s="351"/>
      <c r="D17" s="351"/>
      <c r="E17" s="352"/>
      <c r="F17" s="352"/>
      <c r="G17" s="351"/>
      <c r="H17" s="353"/>
      <c r="I17" s="354"/>
      <c r="J17" s="355">
        <f>(H17+I17)-(E17+F17)</f>
        <v>0</v>
      </c>
      <c r="K17" s="356"/>
      <c r="L17" s="354"/>
      <c r="M17" s="357"/>
      <c r="N17" s="358"/>
      <c r="O17" s="353"/>
      <c r="P17" s="359"/>
      <c r="Q17" s="358"/>
      <c r="R17" s="360"/>
      <c r="S17" s="361"/>
    </row>
    <row r="18" spans="1:19" ht="12.75">
      <c r="A18" s="362"/>
      <c r="B18" s="363"/>
      <c r="C18" s="364"/>
      <c r="D18" s="364"/>
      <c r="E18" s="365"/>
      <c r="F18" s="365"/>
      <c r="G18" s="364"/>
      <c r="H18" s="365"/>
      <c r="I18" s="366"/>
      <c r="J18" s="367">
        <f aca="true" t="shared" si="2" ref="J18:J27">(H18+I18)-(E18+F18)</f>
        <v>0</v>
      </c>
      <c r="K18" s="360"/>
      <c r="L18" s="366"/>
      <c r="M18" s="368"/>
      <c r="N18" s="369"/>
      <c r="O18" s="365"/>
      <c r="P18" s="370"/>
      <c r="Q18" s="369"/>
      <c r="R18" s="360"/>
      <c r="S18" s="361"/>
    </row>
    <row r="19" spans="1:19" ht="12.75">
      <c r="A19" s="362"/>
      <c r="B19" s="363"/>
      <c r="C19" s="364"/>
      <c r="D19" s="364"/>
      <c r="E19" s="365"/>
      <c r="F19" s="365"/>
      <c r="G19" s="364"/>
      <c r="H19" s="365"/>
      <c r="I19" s="366"/>
      <c r="J19" s="367">
        <f t="shared" si="2"/>
        <v>0</v>
      </c>
      <c r="K19" s="360"/>
      <c r="L19" s="366"/>
      <c r="M19" s="368"/>
      <c r="N19" s="369"/>
      <c r="O19" s="365"/>
      <c r="P19" s="370"/>
      <c r="Q19" s="369"/>
      <c r="R19" s="360"/>
      <c r="S19" s="361"/>
    </row>
    <row r="20" spans="1:19" ht="12.75">
      <c r="A20" s="362"/>
      <c r="B20" s="363"/>
      <c r="C20" s="364"/>
      <c r="D20" s="364"/>
      <c r="E20" s="365"/>
      <c r="F20" s="365"/>
      <c r="G20" s="364"/>
      <c r="H20" s="365"/>
      <c r="I20" s="366"/>
      <c r="J20" s="367">
        <f t="shared" si="2"/>
        <v>0</v>
      </c>
      <c r="K20" s="360"/>
      <c r="L20" s="366"/>
      <c r="M20" s="368"/>
      <c r="N20" s="369"/>
      <c r="O20" s="365"/>
      <c r="P20" s="370"/>
      <c r="Q20" s="369"/>
      <c r="R20" s="360"/>
      <c r="S20" s="361"/>
    </row>
    <row r="21" spans="1:19" ht="12.75">
      <c r="A21" s="362"/>
      <c r="B21" s="363"/>
      <c r="C21" s="364"/>
      <c r="D21" s="364"/>
      <c r="E21" s="365"/>
      <c r="F21" s="365"/>
      <c r="G21" s="364"/>
      <c r="H21" s="365"/>
      <c r="I21" s="366"/>
      <c r="J21" s="367">
        <f t="shared" si="2"/>
        <v>0</v>
      </c>
      <c r="K21" s="360"/>
      <c r="L21" s="366"/>
      <c r="M21" s="368"/>
      <c r="N21" s="369"/>
      <c r="O21" s="365"/>
      <c r="P21" s="370"/>
      <c r="Q21" s="369"/>
      <c r="R21" s="360"/>
      <c r="S21" s="361"/>
    </row>
    <row r="22" spans="1:19" ht="12.75">
      <c r="A22" s="362"/>
      <c r="B22" s="363"/>
      <c r="C22" s="364"/>
      <c r="D22" s="364"/>
      <c r="E22" s="365"/>
      <c r="F22" s="365"/>
      <c r="G22" s="364"/>
      <c r="H22" s="365"/>
      <c r="I22" s="366"/>
      <c r="J22" s="367">
        <f t="shared" si="2"/>
        <v>0</v>
      </c>
      <c r="K22" s="360"/>
      <c r="L22" s="366"/>
      <c r="M22" s="368"/>
      <c r="N22" s="369"/>
      <c r="O22" s="365"/>
      <c r="P22" s="370"/>
      <c r="Q22" s="369"/>
      <c r="R22" s="360"/>
      <c r="S22" s="361"/>
    </row>
    <row r="23" spans="1:19" ht="12.75">
      <c r="A23" s="362"/>
      <c r="B23" s="363"/>
      <c r="C23" s="364"/>
      <c r="D23" s="364"/>
      <c r="E23" s="365"/>
      <c r="F23" s="365"/>
      <c r="G23" s="364"/>
      <c r="H23" s="365"/>
      <c r="I23" s="366"/>
      <c r="J23" s="367">
        <f t="shared" si="2"/>
        <v>0</v>
      </c>
      <c r="K23" s="360"/>
      <c r="L23" s="366"/>
      <c r="M23" s="368"/>
      <c r="N23" s="369"/>
      <c r="O23" s="365"/>
      <c r="P23" s="370"/>
      <c r="Q23" s="369"/>
      <c r="R23" s="360"/>
      <c r="S23" s="361"/>
    </row>
    <row r="24" spans="1:19" ht="12.75">
      <c r="A24" s="362"/>
      <c r="B24" s="363"/>
      <c r="C24" s="364"/>
      <c r="D24" s="364"/>
      <c r="E24" s="365"/>
      <c r="F24" s="365"/>
      <c r="G24" s="364"/>
      <c r="H24" s="365"/>
      <c r="I24" s="366"/>
      <c r="J24" s="367">
        <f t="shared" si="2"/>
        <v>0</v>
      </c>
      <c r="K24" s="360"/>
      <c r="L24" s="366"/>
      <c r="M24" s="368"/>
      <c r="N24" s="369"/>
      <c r="O24" s="365"/>
      <c r="P24" s="370"/>
      <c r="Q24" s="369"/>
      <c r="R24" s="360"/>
      <c r="S24" s="361"/>
    </row>
    <row r="25" spans="1:19" ht="12.75">
      <c r="A25" s="362"/>
      <c r="B25" s="363"/>
      <c r="C25" s="364"/>
      <c r="D25" s="364"/>
      <c r="E25" s="365"/>
      <c r="F25" s="365"/>
      <c r="G25" s="364"/>
      <c r="H25" s="365"/>
      <c r="I25" s="366"/>
      <c r="J25" s="367">
        <f t="shared" si="2"/>
        <v>0</v>
      </c>
      <c r="K25" s="360"/>
      <c r="L25" s="366"/>
      <c r="M25" s="368"/>
      <c r="N25" s="369"/>
      <c r="O25" s="365"/>
      <c r="P25" s="370"/>
      <c r="Q25" s="369"/>
      <c r="R25" s="360"/>
      <c r="S25" s="361"/>
    </row>
    <row r="26" spans="1:19" ht="12.75">
      <c r="A26" s="362"/>
      <c r="B26" s="363"/>
      <c r="C26" s="364"/>
      <c r="D26" s="364"/>
      <c r="E26" s="365"/>
      <c r="F26" s="365"/>
      <c r="G26" s="364"/>
      <c r="H26" s="365"/>
      <c r="I26" s="366"/>
      <c r="J26" s="367">
        <f t="shared" si="2"/>
        <v>0</v>
      </c>
      <c r="K26" s="360"/>
      <c r="L26" s="366"/>
      <c r="M26" s="368"/>
      <c r="N26" s="369"/>
      <c r="O26" s="365"/>
      <c r="P26" s="370"/>
      <c r="Q26" s="369"/>
      <c r="R26" s="360"/>
      <c r="S26" s="361"/>
    </row>
    <row r="27" spans="1:19" ht="13.5" thickBot="1">
      <c r="A27" s="362"/>
      <c r="B27" s="363"/>
      <c r="C27" s="371"/>
      <c r="D27" s="371"/>
      <c r="E27" s="372"/>
      <c r="F27" s="372"/>
      <c r="G27" s="371"/>
      <c r="H27" s="365"/>
      <c r="I27" s="366"/>
      <c r="J27" s="367">
        <f t="shared" si="2"/>
        <v>0</v>
      </c>
      <c r="K27" s="360"/>
      <c r="L27" s="366"/>
      <c r="M27" s="368"/>
      <c r="N27" s="369"/>
      <c r="O27" s="365"/>
      <c r="P27" s="370"/>
      <c r="Q27" s="369"/>
      <c r="R27" s="360"/>
      <c r="S27" s="361"/>
    </row>
    <row r="28" spans="1:19" ht="13.5" customHeight="1" thickTop="1">
      <c r="A28" s="373" t="s">
        <v>993</v>
      </c>
      <c r="B28" s="374"/>
      <c r="C28" s="375"/>
      <c r="D28" s="375"/>
      <c r="E28" s="376">
        <f>SUM(E17:E27)</f>
        <v>0</v>
      </c>
      <c r="F28" s="376">
        <f>SUM(F17:F27)</f>
        <v>0</v>
      </c>
      <c r="G28" s="377"/>
      <c r="H28" s="376">
        <f>SUM(H17:H27)</f>
        <v>0</v>
      </c>
      <c r="I28" s="376">
        <f>SUM(I17:I27)</f>
        <v>0</v>
      </c>
      <c r="J28" s="378">
        <f>SUM(J17:J27)</f>
        <v>0</v>
      </c>
      <c r="K28" s="376">
        <f>SUM(K17:K27)</f>
        <v>0</v>
      </c>
      <c r="L28" s="379">
        <f>SUM(L17:L27)</f>
        <v>0</v>
      </c>
      <c r="M28" s="380"/>
      <c r="N28" s="381"/>
      <c r="O28" s="382">
        <f>SUM(O17:O27)</f>
        <v>0</v>
      </c>
      <c r="P28" s="383"/>
      <c r="Q28" s="381"/>
      <c r="R28" s="382">
        <f>SUM(R17:R27)</f>
        <v>0</v>
      </c>
      <c r="S28" s="384"/>
    </row>
    <row r="29" spans="1:19" ht="4.5" customHeight="1">
      <c r="A29" s="385"/>
      <c r="B29" s="375"/>
      <c r="C29" s="375"/>
      <c r="D29" s="375"/>
      <c r="E29" s="386"/>
      <c r="F29" s="386"/>
      <c r="G29" s="387"/>
      <c r="H29" s="388"/>
      <c r="I29" s="389"/>
      <c r="J29" s="390"/>
      <c r="K29" s="391"/>
      <c r="L29" s="392"/>
      <c r="M29" s="393"/>
      <c r="N29" s="394"/>
      <c r="O29" s="386"/>
      <c r="P29" s="395"/>
      <c r="Q29" s="394"/>
      <c r="R29" s="391"/>
      <c r="S29" s="396"/>
    </row>
    <row r="30" spans="1:19" ht="12.75">
      <c r="A30" s="1038" t="s">
        <v>956</v>
      </c>
      <c r="B30" s="1039"/>
      <c r="C30" s="1039"/>
      <c r="D30" s="1039"/>
      <c r="E30" s="1039"/>
      <c r="F30" s="1039"/>
      <c r="G30" s="1039"/>
      <c r="H30" s="1039"/>
      <c r="I30" s="1039"/>
      <c r="J30" s="1039"/>
      <c r="K30" s="1039"/>
      <c r="L30" s="1039"/>
      <c r="M30" s="1039"/>
      <c r="N30" s="1039"/>
      <c r="O30" s="1039"/>
      <c r="P30" s="1039"/>
      <c r="Q30" s="1039"/>
      <c r="R30" s="1039"/>
      <c r="S30" s="1040"/>
    </row>
    <row r="31" spans="1:19" ht="12.75">
      <c r="A31" s="349"/>
      <c r="B31" s="363"/>
      <c r="C31" s="397"/>
      <c r="D31" s="397"/>
      <c r="E31" s="353"/>
      <c r="F31" s="353"/>
      <c r="G31" s="397"/>
      <c r="H31" s="353"/>
      <c r="I31" s="354"/>
      <c r="J31" s="355">
        <f aca="true" t="shared" si="3" ref="J31:J39">(H31+I31)-(E31+F31)</f>
        <v>0</v>
      </c>
      <c r="K31" s="356"/>
      <c r="L31" s="354"/>
      <c r="M31" s="357"/>
      <c r="N31" s="358"/>
      <c r="O31" s="353"/>
      <c r="P31" s="370"/>
      <c r="Q31" s="358"/>
      <c r="R31" s="360"/>
      <c r="S31" s="361"/>
    </row>
    <row r="32" spans="1:19" ht="12.75">
      <c r="A32" s="362"/>
      <c r="B32" s="363"/>
      <c r="C32" s="364"/>
      <c r="D32" s="364"/>
      <c r="E32" s="365"/>
      <c r="F32" s="365"/>
      <c r="G32" s="364"/>
      <c r="H32" s="365"/>
      <c r="I32" s="366"/>
      <c r="J32" s="367">
        <f t="shared" si="3"/>
        <v>0</v>
      </c>
      <c r="K32" s="360"/>
      <c r="L32" s="366"/>
      <c r="M32" s="368"/>
      <c r="N32" s="369"/>
      <c r="O32" s="365"/>
      <c r="P32" s="370"/>
      <c r="Q32" s="369"/>
      <c r="R32" s="360"/>
      <c r="S32" s="361"/>
    </row>
    <row r="33" spans="1:19" ht="12.75">
      <c r="A33" s="362"/>
      <c r="B33" s="363"/>
      <c r="C33" s="364"/>
      <c r="D33" s="364"/>
      <c r="E33" s="365"/>
      <c r="F33" s="365"/>
      <c r="G33" s="364"/>
      <c r="H33" s="365"/>
      <c r="I33" s="366"/>
      <c r="J33" s="367">
        <f t="shared" si="3"/>
        <v>0</v>
      </c>
      <c r="K33" s="360"/>
      <c r="L33" s="366"/>
      <c r="M33" s="368"/>
      <c r="N33" s="369"/>
      <c r="O33" s="365"/>
      <c r="P33" s="370"/>
      <c r="Q33" s="369"/>
      <c r="R33" s="360"/>
      <c r="S33" s="361"/>
    </row>
    <row r="34" spans="1:19" ht="12.75">
      <c r="A34" s="362"/>
      <c r="B34" s="363"/>
      <c r="C34" s="364"/>
      <c r="D34" s="364"/>
      <c r="E34" s="365"/>
      <c r="F34" s="365"/>
      <c r="G34" s="364"/>
      <c r="H34" s="365"/>
      <c r="I34" s="366"/>
      <c r="J34" s="367">
        <f t="shared" si="3"/>
        <v>0</v>
      </c>
      <c r="K34" s="360"/>
      <c r="L34" s="366"/>
      <c r="M34" s="368"/>
      <c r="N34" s="369"/>
      <c r="O34" s="365"/>
      <c r="P34" s="370"/>
      <c r="Q34" s="369"/>
      <c r="R34" s="360"/>
      <c r="S34" s="361"/>
    </row>
    <row r="35" spans="1:19" ht="12.75">
      <c r="A35" s="362"/>
      <c r="B35" s="363"/>
      <c r="C35" s="364"/>
      <c r="D35" s="364"/>
      <c r="E35" s="365"/>
      <c r="F35" s="365"/>
      <c r="G35" s="364"/>
      <c r="H35" s="365"/>
      <c r="I35" s="366"/>
      <c r="J35" s="367">
        <f t="shared" si="3"/>
        <v>0</v>
      </c>
      <c r="K35" s="360"/>
      <c r="L35" s="366"/>
      <c r="M35" s="368"/>
      <c r="N35" s="369"/>
      <c r="O35" s="365"/>
      <c r="P35" s="370"/>
      <c r="Q35" s="369"/>
      <c r="R35" s="360"/>
      <c r="S35" s="361"/>
    </row>
    <row r="36" spans="1:19" ht="12.75">
      <c r="A36" s="362"/>
      <c r="B36" s="363"/>
      <c r="C36" s="364"/>
      <c r="D36" s="364"/>
      <c r="E36" s="365"/>
      <c r="F36" s="365"/>
      <c r="G36" s="364"/>
      <c r="H36" s="365"/>
      <c r="I36" s="366"/>
      <c r="J36" s="367">
        <f t="shared" si="3"/>
        <v>0</v>
      </c>
      <c r="K36" s="360"/>
      <c r="L36" s="366"/>
      <c r="M36" s="368"/>
      <c r="N36" s="369"/>
      <c r="O36" s="365"/>
      <c r="P36" s="370"/>
      <c r="Q36" s="369"/>
      <c r="R36" s="360"/>
      <c r="S36" s="361"/>
    </row>
    <row r="37" spans="1:19" ht="12.75">
      <c r="A37" s="362"/>
      <c r="B37" s="363"/>
      <c r="C37" s="364"/>
      <c r="D37" s="364"/>
      <c r="E37" s="365"/>
      <c r="F37" s="365"/>
      <c r="G37" s="364"/>
      <c r="H37" s="365"/>
      <c r="I37" s="366"/>
      <c r="J37" s="367">
        <f t="shared" si="3"/>
        <v>0</v>
      </c>
      <c r="K37" s="360"/>
      <c r="L37" s="366"/>
      <c r="M37" s="368"/>
      <c r="N37" s="369"/>
      <c r="O37" s="365"/>
      <c r="P37" s="370"/>
      <c r="Q37" s="369"/>
      <c r="R37" s="360"/>
      <c r="S37" s="361"/>
    </row>
    <row r="38" spans="1:19" ht="12.75">
      <c r="A38" s="362"/>
      <c r="B38" s="363"/>
      <c r="C38" s="364"/>
      <c r="D38" s="364"/>
      <c r="E38" s="365"/>
      <c r="F38" s="365"/>
      <c r="G38" s="364"/>
      <c r="H38" s="365"/>
      <c r="I38" s="366"/>
      <c r="J38" s="367">
        <f t="shared" si="3"/>
        <v>0</v>
      </c>
      <c r="K38" s="360"/>
      <c r="L38" s="366"/>
      <c r="M38" s="368"/>
      <c r="N38" s="369"/>
      <c r="O38" s="365"/>
      <c r="P38" s="370"/>
      <c r="Q38" s="369"/>
      <c r="R38" s="360"/>
      <c r="S38" s="361"/>
    </row>
    <row r="39" spans="1:19" ht="13.5" thickBot="1">
      <c r="A39" s="398"/>
      <c r="B39" s="375"/>
      <c r="C39" s="399"/>
      <c r="D39" s="377"/>
      <c r="E39" s="400"/>
      <c r="F39" s="400"/>
      <c r="G39" s="377"/>
      <c r="H39" s="400"/>
      <c r="I39" s="389"/>
      <c r="J39" s="367">
        <f t="shared" si="3"/>
        <v>0</v>
      </c>
      <c r="K39" s="388"/>
      <c r="L39" s="389"/>
      <c r="M39" s="401"/>
      <c r="N39" s="394"/>
      <c r="O39" s="400"/>
      <c r="P39" s="395"/>
      <c r="Q39" s="394"/>
      <c r="R39" s="388"/>
      <c r="S39" s="396"/>
    </row>
    <row r="40" spans="1:19" ht="13.5" thickTop="1">
      <c r="A40" s="373" t="s">
        <v>993</v>
      </c>
      <c r="B40" s="374"/>
      <c r="C40" s="374"/>
      <c r="D40" s="374"/>
      <c r="E40" s="382">
        <f>SUM(E31:E39)</f>
        <v>0</v>
      </c>
      <c r="F40" s="382">
        <f>SUM(F31:F39)</f>
        <v>0</v>
      </c>
      <c r="G40" s="374"/>
      <c r="H40" s="382">
        <f>SUM(H31:H39)</f>
        <v>0</v>
      </c>
      <c r="I40" s="382">
        <f>SUM(I31:I39)</f>
        <v>0</v>
      </c>
      <c r="J40" s="378">
        <f>SUM(J31:J39)</f>
        <v>0</v>
      </c>
      <c r="K40" s="376">
        <f>SUM(K31:K39)</f>
        <v>0</v>
      </c>
      <c r="L40" s="379">
        <f>SUM(L31:L39)</f>
        <v>0</v>
      </c>
      <c r="M40" s="380"/>
      <c r="N40" s="381"/>
      <c r="O40" s="382">
        <f>SUM(O31:O39)</f>
        <v>0</v>
      </c>
      <c r="P40" s="383"/>
      <c r="Q40" s="381"/>
      <c r="R40" s="382">
        <f>SUM(R31:R39)</f>
        <v>0</v>
      </c>
      <c r="S40" s="384"/>
    </row>
    <row r="41" spans="1:19" ht="4.5" customHeight="1">
      <c r="A41" s="385"/>
      <c r="B41" s="375"/>
      <c r="C41" s="375"/>
      <c r="D41" s="375"/>
      <c r="E41" s="402"/>
      <c r="F41" s="402"/>
      <c r="G41" s="375"/>
      <c r="H41" s="400"/>
      <c r="I41" s="389"/>
      <c r="J41" s="390"/>
      <c r="K41" s="391"/>
      <c r="L41" s="402"/>
      <c r="M41" s="393"/>
      <c r="N41" s="394"/>
      <c r="O41" s="386"/>
      <c r="P41" s="395"/>
      <c r="Q41" s="394"/>
      <c r="R41" s="391"/>
      <c r="S41" s="396"/>
    </row>
    <row r="42" spans="1:19" ht="12.75">
      <c r="A42" s="1038" t="s">
        <v>957</v>
      </c>
      <c r="B42" s="1039"/>
      <c r="C42" s="1039"/>
      <c r="D42" s="1039"/>
      <c r="E42" s="1039"/>
      <c r="F42" s="1039"/>
      <c r="G42" s="1039"/>
      <c r="H42" s="1039"/>
      <c r="I42" s="1039"/>
      <c r="J42" s="1039"/>
      <c r="K42" s="1039"/>
      <c r="L42" s="1039"/>
      <c r="M42" s="1039"/>
      <c r="N42" s="1039"/>
      <c r="O42" s="1039"/>
      <c r="P42" s="1039"/>
      <c r="Q42" s="1039"/>
      <c r="R42" s="1039"/>
      <c r="S42" s="1040"/>
    </row>
    <row r="43" spans="1:19" ht="12.75">
      <c r="A43" s="349"/>
      <c r="B43" s="363"/>
      <c r="C43" s="397"/>
      <c r="D43" s="397"/>
      <c r="E43" s="353"/>
      <c r="F43" s="353"/>
      <c r="G43" s="397"/>
      <c r="H43" s="353"/>
      <c r="I43" s="354"/>
      <c r="J43" s="355">
        <f>(H43+I43)-(E43+F43)</f>
        <v>0</v>
      </c>
      <c r="K43" s="356"/>
      <c r="L43" s="354"/>
      <c r="M43" s="357"/>
      <c r="N43" s="358"/>
      <c r="O43" s="353"/>
      <c r="P43" s="370"/>
      <c r="Q43" s="358"/>
      <c r="R43" s="360"/>
      <c r="S43" s="361"/>
    </row>
    <row r="44" spans="1:19" ht="12.75">
      <c r="A44" s="362"/>
      <c r="B44" s="363"/>
      <c r="C44" s="364"/>
      <c r="D44" s="364"/>
      <c r="E44" s="365"/>
      <c r="F44" s="365"/>
      <c r="G44" s="364"/>
      <c r="H44" s="365"/>
      <c r="I44" s="366"/>
      <c r="J44" s="367">
        <f>(H44+I44)-(E44+F44)</f>
        <v>0</v>
      </c>
      <c r="K44" s="360"/>
      <c r="L44" s="366"/>
      <c r="M44" s="368"/>
      <c r="N44" s="369"/>
      <c r="O44" s="365"/>
      <c r="P44" s="370"/>
      <c r="Q44" s="369"/>
      <c r="R44" s="360"/>
      <c r="S44" s="361"/>
    </row>
    <row r="45" spans="1:19" ht="12.75">
      <c r="A45" s="362"/>
      <c r="B45" s="363"/>
      <c r="C45" s="364"/>
      <c r="D45" s="364"/>
      <c r="E45" s="365"/>
      <c r="F45" s="365"/>
      <c r="G45" s="364"/>
      <c r="H45" s="365"/>
      <c r="I45" s="366"/>
      <c r="J45" s="367">
        <f>(H45+I45)-(E45+F45)</f>
        <v>0</v>
      </c>
      <c r="K45" s="360"/>
      <c r="L45" s="366"/>
      <c r="M45" s="368"/>
      <c r="N45" s="369"/>
      <c r="O45" s="365"/>
      <c r="P45" s="370"/>
      <c r="Q45" s="369"/>
      <c r="R45" s="360"/>
      <c r="S45" s="361"/>
    </row>
    <row r="46" spans="1:19" ht="12.75">
      <c r="A46" s="362"/>
      <c r="B46" s="363"/>
      <c r="C46" s="364"/>
      <c r="D46" s="364"/>
      <c r="E46" s="365"/>
      <c r="F46" s="365"/>
      <c r="G46" s="364"/>
      <c r="H46" s="365"/>
      <c r="I46" s="366"/>
      <c r="J46" s="367">
        <f>(H46+I46)-(E46+F46)</f>
        <v>0</v>
      </c>
      <c r="K46" s="360"/>
      <c r="L46" s="366"/>
      <c r="M46" s="368"/>
      <c r="N46" s="369"/>
      <c r="O46" s="365"/>
      <c r="P46" s="370"/>
      <c r="Q46" s="369"/>
      <c r="R46" s="360"/>
      <c r="S46" s="361"/>
    </row>
    <row r="47" spans="1:19" ht="13.5" thickBot="1">
      <c r="A47" s="362"/>
      <c r="B47" s="363"/>
      <c r="C47" s="371"/>
      <c r="D47" s="364"/>
      <c r="E47" s="365"/>
      <c r="F47" s="365"/>
      <c r="G47" s="364"/>
      <c r="H47" s="365"/>
      <c r="I47" s="366"/>
      <c r="J47" s="367">
        <f>(H47+I47)-(E47+F47)</f>
        <v>0</v>
      </c>
      <c r="K47" s="360"/>
      <c r="L47" s="366"/>
      <c r="M47" s="368"/>
      <c r="N47" s="369"/>
      <c r="O47" s="365"/>
      <c r="P47" s="370"/>
      <c r="Q47" s="369"/>
      <c r="R47" s="360"/>
      <c r="S47" s="361"/>
    </row>
    <row r="48" spans="1:19" ht="13.5" customHeight="1" thickTop="1">
      <c r="A48" s="373" t="s">
        <v>993</v>
      </c>
      <c r="B48" s="374"/>
      <c r="C48" s="374"/>
      <c r="D48" s="374"/>
      <c r="E48" s="382">
        <f>SUM(E43:E47)</f>
        <v>0</v>
      </c>
      <c r="F48" s="382">
        <f>SUM(F43:F47)</f>
        <v>0</v>
      </c>
      <c r="G48" s="374"/>
      <c r="H48" s="382">
        <f>SUM(H43:H47)</f>
        <v>0</v>
      </c>
      <c r="I48" s="382">
        <f>SUM(I43:I47)</f>
        <v>0</v>
      </c>
      <c r="J48" s="378">
        <f>SUM(J43:J47)</f>
        <v>0</v>
      </c>
      <c r="K48" s="376">
        <f>SUM(K43:K47)</f>
        <v>0</v>
      </c>
      <c r="L48" s="379">
        <f>SUM(L43:L47)</f>
        <v>0</v>
      </c>
      <c r="M48" s="380"/>
      <c r="N48" s="381"/>
      <c r="O48" s="382">
        <f>SUM(O43:O47)</f>
        <v>0</v>
      </c>
      <c r="P48" s="383"/>
      <c r="Q48" s="381"/>
      <c r="R48" s="382">
        <f>SUM(R43:R47)</f>
        <v>0</v>
      </c>
      <c r="S48" s="384"/>
    </row>
    <row r="49" spans="1:19" ht="4.5" customHeight="1">
      <c r="A49" s="385"/>
      <c r="B49" s="375"/>
      <c r="C49" s="375"/>
      <c r="D49" s="375"/>
      <c r="E49" s="402"/>
      <c r="F49" s="402"/>
      <c r="G49" s="375"/>
      <c r="H49" s="400"/>
      <c r="I49" s="389"/>
      <c r="J49" s="390"/>
      <c r="K49" s="391"/>
      <c r="L49" s="402"/>
      <c r="M49" s="393"/>
      <c r="N49" s="394"/>
      <c r="O49" s="386"/>
      <c r="P49" s="395"/>
      <c r="Q49" s="394"/>
      <c r="R49" s="391"/>
      <c r="S49" s="396"/>
    </row>
    <row r="50" spans="1:19" ht="12.75">
      <c r="A50" s="1038" t="s">
        <v>958</v>
      </c>
      <c r="B50" s="1039"/>
      <c r="C50" s="1039"/>
      <c r="D50" s="1039"/>
      <c r="E50" s="1039"/>
      <c r="F50" s="1039"/>
      <c r="G50" s="1039"/>
      <c r="H50" s="1039"/>
      <c r="I50" s="1039"/>
      <c r="J50" s="1039"/>
      <c r="K50" s="1039"/>
      <c r="L50" s="1039"/>
      <c r="M50" s="1039"/>
      <c r="N50" s="1039"/>
      <c r="O50" s="1039"/>
      <c r="P50" s="1039"/>
      <c r="Q50" s="1039"/>
      <c r="R50" s="1039"/>
      <c r="S50" s="1040"/>
    </row>
    <row r="51" spans="1:19" ht="12.75">
      <c r="A51" s="349"/>
      <c r="B51" s="363"/>
      <c r="C51" s="397"/>
      <c r="D51" s="397"/>
      <c r="E51" s="353"/>
      <c r="F51" s="353"/>
      <c r="G51" s="397"/>
      <c r="H51" s="353"/>
      <c r="I51" s="354"/>
      <c r="J51" s="355">
        <f>(H51+I51)-(E51+F51)</f>
        <v>0</v>
      </c>
      <c r="K51" s="356"/>
      <c r="L51" s="354"/>
      <c r="M51" s="357"/>
      <c r="N51" s="358"/>
      <c r="O51" s="353"/>
      <c r="P51" s="370"/>
      <c r="Q51" s="358"/>
      <c r="R51" s="360"/>
      <c r="S51" s="361"/>
    </row>
    <row r="52" spans="1:19" ht="12.75">
      <c r="A52" s="362"/>
      <c r="B52" s="363"/>
      <c r="C52" s="364"/>
      <c r="D52" s="364"/>
      <c r="E52" s="365"/>
      <c r="F52" s="365"/>
      <c r="G52" s="364"/>
      <c r="H52" s="365"/>
      <c r="I52" s="366"/>
      <c r="J52" s="367">
        <f>(H52+I52)-(E52+F52)</f>
        <v>0</v>
      </c>
      <c r="K52" s="360"/>
      <c r="L52" s="366"/>
      <c r="M52" s="368"/>
      <c r="N52" s="369"/>
      <c r="O52" s="365"/>
      <c r="P52" s="370"/>
      <c r="Q52" s="369"/>
      <c r="R52" s="360"/>
      <c r="S52" s="361"/>
    </row>
    <row r="53" spans="1:19" ht="12.75">
      <c r="A53" s="362"/>
      <c r="B53" s="363"/>
      <c r="C53" s="364"/>
      <c r="D53" s="364"/>
      <c r="E53" s="365"/>
      <c r="F53" s="365"/>
      <c r="G53" s="364"/>
      <c r="H53" s="365"/>
      <c r="I53" s="366"/>
      <c r="J53" s="367">
        <f>(H53+I53)-(E53+F53)</f>
        <v>0</v>
      </c>
      <c r="K53" s="360"/>
      <c r="L53" s="366"/>
      <c r="M53" s="368"/>
      <c r="N53" s="369"/>
      <c r="O53" s="365"/>
      <c r="P53" s="370"/>
      <c r="Q53" s="369"/>
      <c r="R53" s="360"/>
      <c r="S53" s="361"/>
    </row>
    <row r="54" spans="1:19" ht="12.75">
      <c r="A54" s="362"/>
      <c r="B54" s="363"/>
      <c r="C54" s="364"/>
      <c r="D54" s="364"/>
      <c r="E54" s="365"/>
      <c r="F54" s="365"/>
      <c r="G54" s="364"/>
      <c r="H54" s="365"/>
      <c r="I54" s="366"/>
      <c r="J54" s="367">
        <f>(H54+I54)-(E54+F54)</f>
        <v>0</v>
      </c>
      <c r="K54" s="360"/>
      <c r="L54" s="366"/>
      <c r="M54" s="368"/>
      <c r="N54" s="369"/>
      <c r="O54" s="365"/>
      <c r="P54" s="370"/>
      <c r="Q54" s="369"/>
      <c r="R54" s="360"/>
      <c r="S54" s="361"/>
    </row>
    <row r="55" spans="1:19" ht="13.5" thickBot="1">
      <c r="A55" s="362"/>
      <c r="B55" s="363"/>
      <c r="C55" s="371"/>
      <c r="D55" s="364"/>
      <c r="E55" s="365"/>
      <c r="F55" s="365"/>
      <c r="G55" s="364"/>
      <c r="H55" s="365"/>
      <c r="I55" s="366"/>
      <c r="J55" s="367">
        <f>(H55+I55)-(E55+F55)</f>
        <v>0</v>
      </c>
      <c r="K55" s="360"/>
      <c r="L55" s="366"/>
      <c r="M55" s="368"/>
      <c r="N55" s="369"/>
      <c r="O55" s="365"/>
      <c r="P55" s="370"/>
      <c r="Q55" s="369"/>
      <c r="R55" s="360"/>
      <c r="S55" s="361"/>
    </row>
    <row r="56" spans="1:19" ht="13.5" thickTop="1">
      <c r="A56" s="373" t="s">
        <v>993</v>
      </c>
      <c r="B56" s="374"/>
      <c r="C56" s="374"/>
      <c r="D56" s="374"/>
      <c r="E56" s="382">
        <f>SUM(E51:E55)</f>
        <v>0</v>
      </c>
      <c r="F56" s="382">
        <f>SUM(F51:F55)</f>
        <v>0</v>
      </c>
      <c r="G56" s="374"/>
      <c r="H56" s="382">
        <f>SUM(H51:H55)</f>
        <v>0</v>
      </c>
      <c r="I56" s="382">
        <f>SUM(I51:I55)</f>
        <v>0</v>
      </c>
      <c r="J56" s="378">
        <f>SUM(J51:J55)</f>
        <v>0</v>
      </c>
      <c r="K56" s="376">
        <f>SUM(K51:K55)</f>
        <v>0</v>
      </c>
      <c r="L56" s="379">
        <f>SUM(L51:L55)</f>
        <v>0</v>
      </c>
      <c r="M56" s="380"/>
      <c r="N56" s="381"/>
      <c r="O56" s="382">
        <f>SUM(O51:O55)</f>
        <v>0</v>
      </c>
      <c r="P56" s="383"/>
      <c r="Q56" s="381"/>
      <c r="R56" s="382">
        <f>SUM(R51:R55)</f>
        <v>0</v>
      </c>
      <c r="S56" s="384"/>
    </row>
    <row r="57" spans="1:19" ht="4.5" customHeight="1">
      <c r="A57" s="385"/>
      <c r="B57" s="375"/>
      <c r="C57" s="375"/>
      <c r="D57" s="375"/>
      <c r="E57" s="402"/>
      <c r="F57" s="402"/>
      <c r="G57" s="375"/>
      <c r="H57" s="400"/>
      <c r="I57" s="389"/>
      <c r="J57" s="390"/>
      <c r="K57" s="391"/>
      <c r="L57" s="402"/>
      <c r="M57" s="393"/>
      <c r="N57" s="394"/>
      <c r="O57" s="386"/>
      <c r="P57" s="395"/>
      <c r="Q57" s="394"/>
      <c r="R57" s="391"/>
      <c r="S57" s="396"/>
    </row>
    <row r="58" spans="1:19" ht="12.75">
      <c r="A58" s="1038" t="s">
        <v>959</v>
      </c>
      <c r="B58" s="1039"/>
      <c r="C58" s="1039"/>
      <c r="D58" s="1039"/>
      <c r="E58" s="1039"/>
      <c r="F58" s="1039"/>
      <c r="G58" s="1039"/>
      <c r="H58" s="1039"/>
      <c r="I58" s="1039"/>
      <c r="J58" s="1039"/>
      <c r="K58" s="1039"/>
      <c r="L58" s="1039"/>
      <c r="M58" s="1039"/>
      <c r="N58" s="1039"/>
      <c r="O58" s="1039"/>
      <c r="P58" s="1039"/>
      <c r="Q58" s="1039"/>
      <c r="R58" s="1039"/>
      <c r="S58" s="1040"/>
    </row>
    <row r="59" spans="1:19" ht="12.75">
      <c r="A59" s="403"/>
      <c r="B59" s="404"/>
      <c r="C59" s="405"/>
      <c r="D59" s="405"/>
      <c r="E59" s="406"/>
      <c r="F59" s="406"/>
      <c r="G59" s="405"/>
      <c r="H59" s="406"/>
      <c r="I59" s="407"/>
      <c r="J59" s="408">
        <f>(H59+I59)-(E59+F59)</f>
        <v>0</v>
      </c>
      <c r="K59" s="409"/>
      <c r="L59" s="407"/>
      <c r="M59" s="410"/>
      <c r="N59" s="358"/>
      <c r="O59" s="406"/>
      <c r="P59" s="411"/>
      <c r="Q59" s="358"/>
      <c r="R59" s="406"/>
      <c r="S59" s="412"/>
    </row>
    <row r="60" spans="1:19" ht="12.75">
      <c r="A60" s="413"/>
      <c r="B60" s="404"/>
      <c r="C60" s="414"/>
      <c r="D60" s="414"/>
      <c r="E60" s="415"/>
      <c r="F60" s="415"/>
      <c r="G60" s="414"/>
      <c r="H60" s="415"/>
      <c r="I60" s="416"/>
      <c r="J60" s="417">
        <f>(H60+I60)-(E60+F60)</f>
        <v>0</v>
      </c>
      <c r="K60" s="418"/>
      <c r="L60" s="416"/>
      <c r="M60" s="419"/>
      <c r="N60" s="369"/>
      <c r="O60" s="415"/>
      <c r="P60" s="420"/>
      <c r="Q60" s="369"/>
      <c r="R60" s="415"/>
      <c r="S60" s="421"/>
    </row>
    <row r="61" spans="1:19" ht="12.75">
      <c r="A61" s="413"/>
      <c r="B61" s="404"/>
      <c r="C61" s="414"/>
      <c r="D61" s="414"/>
      <c r="E61" s="415"/>
      <c r="F61" s="415"/>
      <c r="G61" s="414"/>
      <c r="H61" s="415"/>
      <c r="I61" s="416"/>
      <c r="J61" s="417">
        <f>(H61+I61)-(E61+F61)</f>
        <v>0</v>
      </c>
      <c r="K61" s="418"/>
      <c r="L61" s="416"/>
      <c r="M61" s="419"/>
      <c r="N61" s="369"/>
      <c r="O61" s="415"/>
      <c r="P61" s="420"/>
      <c r="Q61" s="369"/>
      <c r="R61" s="415"/>
      <c r="S61" s="421"/>
    </row>
    <row r="62" spans="1:19" ht="12.75">
      <c r="A62" s="413"/>
      <c r="B62" s="404"/>
      <c r="C62" s="414"/>
      <c r="D62" s="414"/>
      <c r="E62" s="415"/>
      <c r="F62" s="415"/>
      <c r="G62" s="414"/>
      <c r="H62" s="415"/>
      <c r="I62" s="416"/>
      <c r="J62" s="417">
        <f>(H62+I62)-(E62+F62)</f>
        <v>0</v>
      </c>
      <c r="K62" s="418"/>
      <c r="L62" s="416"/>
      <c r="M62" s="419"/>
      <c r="N62" s="369"/>
      <c r="O62" s="415"/>
      <c r="P62" s="420"/>
      <c r="Q62" s="369"/>
      <c r="R62" s="415"/>
      <c r="S62" s="421"/>
    </row>
    <row r="63" spans="1:19" ht="13.5" thickBot="1">
      <c r="A63" s="362"/>
      <c r="B63" s="363"/>
      <c r="C63" s="371"/>
      <c r="D63" s="371"/>
      <c r="E63" s="372"/>
      <c r="F63" s="372"/>
      <c r="G63" s="371"/>
      <c r="H63" s="372"/>
      <c r="I63" s="366"/>
      <c r="J63" s="367">
        <f>(H63+I63)-(E63+F63)</f>
        <v>0</v>
      </c>
      <c r="K63" s="360"/>
      <c r="L63" s="366"/>
      <c r="M63" s="422"/>
      <c r="N63" s="369"/>
      <c r="O63" s="365"/>
      <c r="P63" s="370"/>
      <c r="Q63" s="369"/>
      <c r="R63" s="360"/>
      <c r="S63" s="361"/>
    </row>
    <row r="64" spans="1:19" ht="13.5" thickTop="1">
      <c r="A64" s="373" t="s">
        <v>993</v>
      </c>
      <c r="B64" s="374"/>
      <c r="C64" s="374"/>
      <c r="D64" s="374"/>
      <c r="E64" s="382">
        <f>SUM(E59:E63)</f>
        <v>0</v>
      </c>
      <c r="F64" s="382">
        <f>SUM(F59:F63)</f>
        <v>0</v>
      </c>
      <c r="G64" s="374"/>
      <c r="H64" s="382">
        <f>SUM(H59:H63)</f>
        <v>0</v>
      </c>
      <c r="I64" s="382">
        <f>SUM(I59:I63)</f>
        <v>0</v>
      </c>
      <c r="J64" s="378">
        <f>SUM(J59:J63)</f>
        <v>0</v>
      </c>
      <c r="K64" s="376">
        <f>SUM(K59:K63)</f>
        <v>0</v>
      </c>
      <c r="L64" s="379">
        <f>SUM(L59:L63)</f>
        <v>0</v>
      </c>
      <c r="M64" s="380"/>
      <c r="N64" s="381"/>
      <c r="O64" s="382">
        <f>SUM(O59:O63)</f>
        <v>0</v>
      </c>
      <c r="P64" s="383"/>
      <c r="Q64" s="381"/>
      <c r="R64" s="382">
        <f>SUM(R59:R63)</f>
        <v>0</v>
      </c>
      <c r="S64" s="384"/>
    </row>
    <row r="65" spans="1:19" ht="4.5" customHeight="1">
      <c r="A65" s="385"/>
      <c r="B65" s="375"/>
      <c r="C65" s="375"/>
      <c r="D65" s="375"/>
      <c r="E65" s="402"/>
      <c r="F65" s="402"/>
      <c r="G65" s="375"/>
      <c r="H65" s="400"/>
      <c r="I65" s="389"/>
      <c r="J65" s="390"/>
      <c r="K65" s="391"/>
      <c r="L65" s="402"/>
      <c r="M65" s="393"/>
      <c r="N65" s="394"/>
      <c r="O65" s="386"/>
      <c r="P65" s="395"/>
      <c r="Q65" s="394"/>
      <c r="R65" s="391"/>
      <c r="S65" s="396"/>
    </row>
    <row r="66" spans="1:19" ht="12.75">
      <c r="A66" s="1038" t="s">
        <v>960</v>
      </c>
      <c r="B66" s="1039"/>
      <c r="C66" s="1039"/>
      <c r="D66" s="1039"/>
      <c r="E66" s="1039"/>
      <c r="F66" s="1039"/>
      <c r="G66" s="1039"/>
      <c r="H66" s="1039"/>
      <c r="I66" s="1039"/>
      <c r="J66" s="1039"/>
      <c r="K66" s="1039"/>
      <c r="L66" s="1039"/>
      <c r="M66" s="1039"/>
      <c r="N66" s="1039"/>
      <c r="O66" s="1039"/>
      <c r="P66" s="1039"/>
      <c r="Q66" s="1039"/>
      <c r="R66" s="1039"/>
      <c r="S66" s="1040"/>
    </row>
    <row r="67" spans="1:19" ht="12.75">
      <c r="A67" s="349"/>
      <c r="B67" s="363"/>
      <c r="C67" s="397"/>
      <c r="D67" s="397"/>
      <c r="E67" s="353"/>
      <c r="F67" s="353"/>
      <c r="G67" s="397"/>
      <c r="H67" s="353"/>
      <c r="I67" s="423"/>
      <c r="J67" s="424">
        <f>(H67+I67)-(E67+F67)</f>
        <v>0</v>
      </c>
      <c r="K67" s="356"/>
      <c r="L67" s="354"/>
      <c r="M67" s="357"/>
      <c r="N67" s="358"/>
      <c r="O67" s="353"/>
      <c r="P67" s="370"/>
      <c r="Q67" s="358"/>
      <c r="R67" s="360"/>
      <c r="S67" s="361"/>
    </row>
    <row r="68" spans="1:19" ht="12.75">
      <c r="A68" s="362"/>
      <c r="B68" s="363"/>
      <c r="C68" s="364"/>
      <c r="D68" s="364"/>
      <c r="E68" s="365"/>
      <c r="F68" s="365"/>
      <c r="G68" s="364"/>
      <c r="H68" s="365"/>
      <c r="I68" s="425"/>
      <c r="J68" s="426">
        <f>(H68+I68)-(E68+F68)</f>
        <v>0</v>
      </c>
      <c r="K68" s="360"/>
      <c r="L68" s="366"/>
      <c r="M68" s="368"/>
      <c r="N68" s="369"/>
      <c r="O68" s="365"/>
      <c r="P68" s="370"/>
      <c r="Q68" s="369"/>
      <c r="R68" s="360"/>
      <c r="S68" s="361"/>
    </row>
    <row r="69" spans="1:19" ht="12.75">
      <c r="A69" s="362"/>
      <c r="B69" s="363"/>
      <c r="C69" s="364"/>
      <c r="D69" s="364"/>
      <c r="E69" s="365"/>
      <c r="F69" s="365"/>
      <c r="G69" s="364"/>
      <c r="H69" s="365"/>
      <c r="I69" s="425"/>
      <c r="J69" s="426">
        <f>(H69+I69)-(E69+F69)</f>
        <v>0</v>
      </c>
      <c r="K69" s="360"/>
      <c r="L69" s="366"/>
      <c r="M69" s="368"/>
      <c r="N69" s="369"/>
      <c r="O69" s="365"/>
      <c r="P69" s="370"/>
      <c r="Q69" s="369"/>
      <c r="R69" s="360"/>
      <c r="S69" s="361"/>
    </row>
    <row r="70" spans="1:19" ht="13.5" thickBot="1">
      <c r="A70" s="362"/>
      <c r="B70" s="363"/>
      <c r="C70" s="371"/>
      <c r="D70" s="364"/>
      <c r="E70" s="365"/>
      <c r="F70" s="365"/>
      <c r="G70" s="364"/>
      <c r="H70" s="365"/>
      <c r="I70" s="425"/>
      <c r="J70" s="426">
        <f>(H70+I70)-(E70+F70)</f>
        <v>0</v>
      </c>
      <c r="K70" s="360"/>
      <c r="L70" s="366"/>
      <c r="M70" s="368"/>
      <c r="N70" s="369"/>
      <c r="O70" s="365"/>
      <c r="P70" s="370"/>
      <c r="Q70" s="369"/>
      <c r="R70" s="360"/>
      <c r="S70" s="361"/>
    </row>
    <row r="71" spans="1:19" ht="13.5" thickTop="1">
      <c r="A71" s="373" t="s">
        <v>993</v>
      </c>
      <c r="B71" s="374"/>
      <c r="C71" s="374"/>
      <c r="D71" s="374"/>
      <c r="E71" s="382">
        <f>SUM(E67:E70)</f>
        <v>0</v>
      </c>
      <c r="F71" s="382">
        <f>SUM(F67:F70)</f>
        <v>0</v>
      </c>
      <c r="G71" s="374"/>
      <c r="H71" s="382">
        <f>SUM(H67:H70)</f>
        <v>0</v>
      </c>
      <c r="I71" s="382">
        <f>SUM(I67:I70)</f>
        <v>0</v>
      </c>
      <c r="J71" s="378">
        <f>SUM(J67:J70)</f>
        <v>0</v>
      </c>
      <c r="K71" s="376">
        <f>SUM(K67:K70)</f>
        <v>0</v>
      </c>
      <c r="L71" s="379">
        <f>SUM(L67:L70)</f>
        <v>0</v>
      </c>
      <c r="M71" s="380"/>
      <c r="N71" s="381"/>
      <c r="O71" s="382">
        <f>SUM(O67:O70)</f>
        <v>0</v>
      </c>
      <c r="P71" s="383"/>
      <c r="Q71" s="381"/>
      <c r="R71" s="382">
        <f>SUM(R67:R70)</f>
        <v>0</v>
      </c>
      <c r="S71" s="384"/>
    </row>
    <row r="72" spans="1:19" ht="4.5" customHeight="1" thickBot="1">
      <c r="A72" s="427"/>
      <c r="B72" s="375"/>
      <c r="C72" s="375"/>
      <c r="D72" s="375"/>
      <c r="E72" s="402"/>
      <c r="F72" s="402"/>
      <c r="G72" s="375"/>
      <c r="H72" s="400"/>
      <c r="I72" s="389"/>
      <c r="J72" s="367"/>
      <c r="K72" s="388"/>
      <c r="L72" s="402"/>
      <c r="M72" s="401"/>
      <c r="N72" s="394"/>
      <c r="O72" s="400"/>
      <c r="P72" s="395"/>
      <c r="Q72" s="394"/>
      <c r="R72" s="388"/>
      <c r="S72" s="396"/>
    </row>
    <row r="73" spans="1:19" ht="19.5" customHeight="1" thickBot="1" thickTop="1">
      <c r="A73" s="1056" t="s">
        <v>994</v>
      </c>
      <c r="B73" s="1057"/>
      <c r="C73" s="1058"/>
      <c r="D73" s="428"/>
      <c r="E73" s="429">
        <f>SUM(E71,E64,E56,E48,E40,E28)</f>
        <v>0</v>
      </c>
      <c r="F73" s="429">
        <f>SUM(F71,F64,F56,F48,F40,F28)</f>
        <v>0</v>
      </c>
      <c r="G73" s="428"/>
      <c r="H73" s="429">
        <f>SUM(H71,H64,H56,H48,H40,H28)</f>
        <v>0</v>
      </c>
      <c r="I73" s="429">
        <f>SUM(I71,I64,I56,I48,I40,I28)</f>
        <v>0</v>
      </c>
      <c r="J73" s="430">
        <f>SUM(J71,J64,J56,J48,J40,J28)</f>
        <v>0</v>
      </c>
      <c r="K73" s="431">
        <f>SUM(K71,K64,K56,K48,K40,K28)</f>
        <v>0</v>
      </c>
      <c r="L73" s="432">
        <f>SUM(L28,L40,L48,L56,L64,L71)</f>
        <v>0</v>
      </c>
      <c r="M73" s="433"/>
      <c r="N73" s="434"/>
      <c r="O73" s="435"/>
      <c r="P73" s="436"/>
      <c r="Q73" s="434"/>
      <c r="R73" s="435"/>
      <c r="S73" s="437"/>
    </row>
    <row r="74" spans="1:19" ht="13.5" customHeight="1" thickTop="1">
      <c r="A74" s="438"/>
      <c r="B74" s="439"/>
      <c r="C74" s="439"/>
      <c r="D74" s="439"/>
      <c r="E74" s="1059" t="s">
        <v>995</v>
      </c>
      <c r="F74" s="1060"/>
      <c r="G74" s="439"/>
      <c r="H74" s="1059" t="s">
        <v>996</v>
      </c>
      <c r="I74" s="1060"/>
      <c r="J74" s="440"/>
      <c r="K74" s="1031" t="s">
        <v>997</v>
      </c>
      <c r="L74" s="1032"/>
      <c r="M74" s="441"/>
      <c r="N74" s="442"/>
      <c r="O74" s="443"/>
      <c r="P74" s="444"/>
      <c r="Q74" s="442"/>
      <c r="R74" s="443"/>
      <c r="S74" s="445"/>
    </row>
    <row r="75" spans="1:19" ht="18" customHeight="1" thickBot="1">
      <c r="A75" s="1048" t="s">
        <v>998</v>
      </c>
      <c r="B75" s="1049"/>
      <c r="C75" s="446"/>
      <c r="D75" s="446"/>
      <c r="E75" s="1050">
        <f>E73+F73</f>
        <v>0</v>
      </c>
      <c r="F75" s="1051"/>
      <c r="G75" s="446"/>
      <c r="H75" s="1052">
        <f>H73+I73</f>
        <v>0</v>
      </c>
      <c r="I75" s="1053"/>
      <c r="J75" s="447">
        <f>J73</f>
        <v>0</v>
      </c>
      <c r="K75" s="1054">
        <f>SUM(K73,L73)</f>
        <v>0</v>
      </c>
      <c r="L75" s="1055"/>
      <c r="M75" s="448"/>
      <c r="N75" s="449"/>
      <c r="O75" s="450"/>
      <c r="P75" s="451"/>
      <c r="Q75" s="449"/>
      <c r="R75" s="450"/>
      <c r="S75" s="452"/>
    </row>
    <row r="76" ht="7.5" customHeight="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c r="B197" s="453"/>
    </row>
    <row r="198" ht="12.75" hidden="1">
      <c r="B198" s="454"/>
    </row>
    <row r="199" ht="12.75" hidden="1">
      <c r="B199" s="454"/>
    </row>
    <row r="200" ht="12.75" hidden="1">
      <c r="B200" s="454"/>
    </row>
    <row r="201" ht="6" customHeight="1" hidden="1">
      <c r="B201" s="454"/>
    </row>
  </sheetData>
  <sheetProtection password="E71A" sheet="1" objects="1" scenarios="1"/>
  <mergeCells count="36">
    <mergeCell ref="A75:B75"/>
    <mergeCell ref="E75:F75"/>
    <mergeCell ref="H75:I75"/>
    <mergeCell ref="K75:L75"/>
    <mergeCell ref="A50:S50"/>
    <mergeCell ref="A58:S58"/>
    <mergeCell ref="A66:S66"/>
    <mergeCell ref="A73:C73"/>
    <mergeCell ref="E74:F74"/>
    <mergeCell ref="H74:I74"/>
    <mergeCell ref="K74:L74"/>
    <mergeCell ref="M14:O14"/>
    <mergeCell ref="P14:R14"/>
    <mergeCell ref="S14:S15"/>
    <mergeCell ref="A16:S16"/>
    <mergeCell ref="A30:S30"/>
    <mergeCell ref="A42:S42"/>
    <mergeCell ref="A14:A15"/>
    <mergeCell ref="B14:B15"/>
    <mergeCell ref="D14:F14"/>
    <mergeCell ref="G14:I14"/>
    <mergeCell ref="J14:J15"/>
    <mergeCell ref="K14:L14"/>
    <mergeCell ref="A12:J12"/>
    <mergeCell ref="K12:S12"/>
    <mergeCell ref="D13:F13"/>
    <mergeCell ref="G13:I13"/>
    <mergeCell ref="K13:L13"/>
    <mergeCell ref="M13:O13"/>
    <mergeCell ref="P13:R13"/>
    <mergeCell ref="V3:X3"/>
    <mergeCell ref="Y3:AA3"/>
    <mergeCell ref="B7:C7"/>
    <mergeCell ref="L7:P7"/>
    <mergeCell ref="B8:C8"/>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5" scale="47" r:id="rId2"/>
  <headerFooter>
    <oddFooter>&amp;LMinistère de l’Énergie et des Ressources naturelles&amp;CÉcoPerformance&amp;RFormulaire de demande d'aide financière</oddFooter>
  </headerFooter>
  <drawing r:id="rId1"/>
</worksheet>
</file>

<file path=xl/worksheets/sheet8.xml><?xml version="1.0" encoding="utf-8"?>
<worksheet xmlns="http://schemas.openxmlformats.org/spreadsheetml/2006/main" xmlns:r="http://schemas.openxmlformats.org/officeDocument/2006/relationships">
  <sheetPr codeName="Feuil7">
    <pageSetUpPr fitToPage="1"/>
  </sheetPr>
  <dimension ref="A4:Q44"/>
  <sheetViews>
    <sheetView showGridLines="0" zoomScalePageLayoutView="0" workbookViewId="0" topLeftCell="A1">
      <selection activeCell="H38" sqref="H38"/>
    </sheetView>
  </sheetViews>
  <sheetFormatPr defaultColWidth="11.421875" defaultRowHeight="12.75"/>
  <cols>
    <col min="1" max="1" width="3.28125" style="0" customWidth="1"/>
    <col min="3" max="3" width="9.8515625" style="0" customWidth="1"/>
    <col min="4" max="4" width="25.28125" style="0" customWidth="1"/>
    <col min="5" max="5" width="44.421875" style="0" customWidth="1"/>
    <col min="6" max="6" width="42.421875" style="0" customWidth="1"/>
    <col min="7" max="7" width="34.7109375" style="0" customWidth="1"/>
    <col min="9" max="9" width="15.00390625" style="0" customWidth="1"/>
    <col min="10" max="14" width="11.421875" style="195" customWidth="1"/>
  </cols>
  <sheetData>
    <row r="1" ht="12.75"/>
    <row r="2" ht="12.75"/>
    <row r="3" ht="6.75" customHeight="1"/>
    <row r="4" ht="20.25">
      <c r="D4" s="268" t="s">
        <v>933</v>
      </c>
    </row>
    <row r="5" ht="3.75" customHeight="1"/>
    <row r="6" spans="10:14" ht="9" customHeight="1">
      <c r="J6" s="192"/>
      <c r="K6" s="192"/>
      <c r="L6" s="192"/>
      <c r="M6" s="192"/>
      <c r="N6" s="192"/>
    </row>
    <row r="7" spans="2:17" ht="1.5" customHeight="1">
      <c r="B7" s="126"/>
      <c r="C7" s="97"/>
      <c r="D7" s="97"/>
      <c r="E7" s="97"/>
      <c r="F7" s="124"/>
      <c r="G7" s="124"/>
      <c r="H7" s="97"/>
      <c r="I7" s="124"/>
      <c r="J7" s="193"/>
      <c r="K7" s="193"/>
      <c r="L7" s="193"/>
      <c r="M7" s="193"/>
      <c r="N7" s="194"/>
      <c r="O7" s="125"/>
      <c r="P7" s="124"/>
      <c r="Q7" s="97"/>
    </row>
    <row r="8" spans="2:17" ht="3.75" customHeight="1">
      <c r="B8" s="126"/>
      <c r="C8" s="97"/>
      <c r="D8" s="97"/>
      <c r="E8" s="97"/>
      <c r="F8" s="124"/>
      <c r="G8" s="124"/>
      <c r="H8" s="97"/>
      <c r="I8" s="124"/>
      <c r="J8" s="193"/>
      <c r="K8" s="193"/>
      <c r="L8" s="193"/>
      <c r="M8" s="193"/>
      <c r="N8" s="194"/>
      <c r="O8" s="125"/>
      <c r="P8" s="124"/>
      <c r="Q8" s="97"/>
    </row>
    <row r="9" spans="2:13" ht="12.75">
      <c r="B9" s="131" t="s">
        <v>146</v>
      </c>
      <c r="C9" s="169"/>
      <c r="D9" s="1014">
        <f>IF('1. Demande'!H11="","",'1. Demande'!H11)</f>
      </c>
      <c r="E9" s="1014"/>
      <c r="F9" s="132" t="s">
        <v>233</v>
      </c>
      <c r="G9" s="1062" t="str">
        <f>IF('2. Plan d''implantation'!AB8="","",'2. Plan d''implantation'!AB8)</f>
        <v> </v>
      </c>
      <c r="H9" s="1062"/>
      <c r="I9" s="168"/>
      <c r="J9" s="168"/>
      <c r="K9" s="168"/>
      <c r="L9" s="198"/>
      <c r="M9" s="198"/>
    </row>
    <row r="10" spans="2:17" ht="12.75">
      <c r="B10" s="131" t="s">
        <v>232</v>
      </c>
      <c r="C10" s="169"/>
      <c r="D10" s="1061"/>
      <c r="E10" s="1061"/>
      <c r="F10" s="128"/>
      <c r="G10" s="128"/>
      <c r="H10" s="127"/>
      <c r="I10" s="130"/>
      <c r="J10" s="196"/>
      <c r="K10" s="197"/>
      <c r="L10" s="197"/>
      <c r="M10" s="197"/>
      <c r="N10" s="198"/>
      <c r="O10" s="125"/>
      <c r="P10" s="129"/>
      <c r="Q10" s="97"/>
    </row>
    <row r="11" spans="2:17" ht="12.75">
      <c r="B11" s="131" t="s">
        <v>111</v>
      </c>
      <c r="C11" s="169"/>
      <c r="D11" s="867"/>
      <c r="E11" s="867"/>
      <c r="F11" s="128"/>
      <c r="G11" s="128"/>
      <c r="H11" s="127"/>
      <c r="I11" s="130"/>
      <c r="J11" s="196"/>
      <c r="K11" s="197"/>
      <c r="L11" s="197"/>
      <c r="M11" s="197"/>
      <c r="N11" s="198"/>
      <c r="O11" s="125"/>
      <c r="P11" s="129"/>
      <c r="Q11" s="97"/>
    </row>
    <row r="12" spans="1:17" ht="7.5" customHeight="1">
      <c r="A12" s="97"/>
      <c r="B12" s="131"/>
      <c r="C12" s="202"/>
      <c r="D12" s="202"/>
      <c r="E12" s="127"/>
      <c r="F12" s="128"/>
      <c r="G12" s="128"/>
      <c r="H12" s="127"/>
      <c r="I12" s="130"/>
      <c r="J12" s="196"/>
      <c r="K12" s="197"/>
      <c r="L12" s="197"/>
      <c r="M12" s="197"/>
      <c r="N12" s="198"/>
      <c r="O12" s="125"/>
      <c r="P12" s="129"/>
      <c r="Q12" s="97"/>
    </row>
    <row r="13" spans="1:12" ht="12" customHeight="1">
      <c r="A13" s="137" t="s">
        <v>237</v>
      </c>
      <c r="B13" s="134" t="s">
        <v>217</v>
      </c>
      <c r="C13" s="134" t="s">
        <v>152</v>
      </c>
      <c r="D13" s="135" t="s">
        <v>185</v>
      </c>
      <c r="E13" s="136" t="s">
        <v>239</v>
      </c>
      <c r="F13" s="136" t="s">
        <v>114</v>
      </c>
      <c r="G13" s="136" t="s">
        <v>160</v>
      </c>
      <c r="H13" s="134" t="s">
        <v>116</v>
      </c>
      <c r="I13" s="163"/>
      <c r="J13" s="163" t="s">
        <v>785</v>
      </c>
      <c r="K13" s="163" t="s">
        <v>786</v>
      </c>
      <c r="L13" s="163" t="s">
        <v>798</v>
      </c>
    </row>
    <row r="14" spans="1:12" ht="12.75" customHeight="1" hidden="1">
      <c r="A14" s="137" t="s">
        <v>798</v>
      </c>
      <c r="B14" s="134" t="s">
        <v>217</v>
      </c>
      <c r="C14" s="134" t="s">
        <v>152</v>
      </c>
      <c r="D14" s="135" t="s">
        <v>185</v>
      </c>
      <c r="E14" s="136" t="s">
        <v>239</v>
      </c>
      <c r="F14" s="136" t="s">
        <v>114</v>
      </c>
      <c r="G14" s="136" t="s">
        <v>160</v>
      </c>
      <c r="H14" s="134" t="s">
        <v>116</v>
      </c>
      <c r="I14" s="163" t="s">
        <v>137</v>
      </c>
      <c r="J14" s="163" t="s">
        <v>785</v>
      </c>
      <c r="K14" s="163" t="s">
        <v>786</v>
      </c>
      <c r="L14" s="163" t="s">
        <v>798</v>
      </c>
    </row>
    <row r="15" spans="1:12" ht="12.75">
      <c r="A15" s="138" t="b">
        <v>0</v>
      </c>
      <c r="B15" s="139"/>
      <c r="C15" s="139"/>
      <c r="D15" s="139" t="s">
        <v>184</v>
      </c>
      <c r="E15" s="139"/>
      <c r="F15" s="139"/>
      <c r="G15" s="139"/>
      <c r="H15" s="139"/>
      <c r="I15" s="163">
        <f aca="true" ca="1" t="shared" si="0" ref="I15:I43">IF(D15="Choisir…","",INDEX(OFFSET(Type_Entreprise,,1,,),MATCH(D15,Type_Entreprise,0)))</f>
      </c>
      <c r="J15" s="163">
        <f aca="true" ca="1" t="shared" si="1" ref="J15:J43">IF(D15="Choisir…","",INDEX(OFFSET(Type_Entreprise,,-1,,),MATCH(D15,Type_Entreprise,0)))</f>
      </c>
      <c r="K15" s="163">
        <f aca="true" ca="1" t="shared" si="2" ref="K15:K43">IF(D15="Choisir…","",INDEX(OFFSET(Type_Entreprise,,1,,),MATCH(D15,Type_Entreprise,0)))</f>
      </c>
      <c r="L15" s="163" t="b">
        <f>A15</f>
        <v>0</v>
      </c>
    </row>
    <row r="16" spans="1:12" ht="12.75">
      <c r="A16" s="138" t="b">
        <v>0</v>
      </c>
      <c r="B16" s="139"/>
      <c r="C16" s="139"/>
      <c r="D16" s="139" t="s">
        <v>184</v>
      </c>
      <c r="E16" s="139"/>
      <c r="F16" s="139"/>
      <c r="G16" s="139"/>
      <c r="H16" s="139"/>
      <c r="I16" s="163">
        <f ca="1" t="shared" si="0"/>
      </c>
      <c r="J16" s="163">
        <f ca="1" t="shared" si="1"/>
      </c>
      <c r="K16" s="163">
        <f ca="1" t="shared" si="2"/>
      </c>
      <c r="L16" s="163" t="b">
        <f aca="true" t="shared" si="3" ref="L16:L43">A16</f>
        <v>0</v>
      </c>
    </row>
    <row r="17" spans="1:12" ht="12.75">
      <c r="A17" s="138" t="b">
        <v>0</v>
      </c>
      <c r="B17" s="139"/>
      <c r="C17" s="139"/>
      <c r="D17" s="139" t="s">
        <v>184</v>
      </c>
      <c r="E17" s="139"/>
      <c r="F17" s="139"/>
      <c r="G17" s="139"/>
      <c r="H17" s="139"/>
      <c r="I17" s="163">
        <f ca="1" t="shared" si="0"/>
      </c>
      <c r="J17" s="163">
        <f ca="1" t="shared" si="1"/>
      </c>
      <c r="K17" s="163">
        <f ca="1" t="shared" si="2"/>
      </c>
      <c r="L17" s="163" t="b">
        <f t="shared" si="3"/>
        <v>0</v>
      </c>
    </row>
    <row r="18" spans="1:12" ht="12.75">
      <c r="A18" s="138" t="b">
        <v>0</v>
      </c>
      <c r="B18" s="139"/>
      <c r="C18" s="139"/>
      <c r="D18" s="139" t="s">
        <v>184</v>
      </c>
      <c r="E18" s="139"/>
      <c r="F18" s="139"/>
      <c r="G18" s="139"/>
      <c r="H18" s="139"/>
      <c r="I18" s="163">
        <f ca="1" t="shared" si="0"/>
      </c>
      <c r="J18" s="163">
        <f ca="1" t="shared" si="1"/>
      </c>
      <c r="K18" s="163">
        <f ca="1" t="shared" si="2"/>
      </c>
      <c r="L18" s="163" t="b">
        <f t="shared" si="3"/>
        <v>0</v>
      </c>
    </row>
    <row r="19" spans="1:12" ht="12.75">
      <c r="A19" s="138" t="b">
        <v>0</v>
      </c>
      <c r="B19" s="139"/>
      <c r="C19" s="139"/>
      <c r="D19" s="139" t="s">
        <v>184</v>
      </c>
      <c r="E19" s="139"/>
      <c r="F19" s="139"/>
      <c r="G19" s="139"/>
      <c r="H19" s="139"/>
      <c r="I19" s="163">
        <f ca="1" t="shared" si="0"/>
      </c>
      <c r="J19" s="163">
        <f ca="1" t="shared" si="1"/>
      </c>
      <c r="K19" s="163">
        <f ca="1" t="shared" si="2"/>
      </c>
      <c r="L19" s="163" t="b">
        <f t="shared" si="3"/>
        <v>0</v>
      </c>
    </row>
    <row r="20" spans="1:12" ht="12.75">
      <c r="A20" s="138" t="b">
        <v>0</v>
      </c>
      <c r="B20" s="139"/>
      <c r="C20" s="139"/>
      <c r="D20" s="139" t="s">
        <v>184</v>
      </c>
      <c r="E20" s="139"/>
      <c r="F20" s="139"/>
      <c r="G20" s="139"/>
      <c r="H20" s="139"/>
      <c r="I20" s="163">
        <f ca="1" t="shared" si="0"/>
      </c>
      <c r="J20" s="163">
        <f ca="1" t="shared" si="1"/>
      </c>
      <c r="K20" s="163">
        <f ca="1" t="shared" si="2"/>
      </c>
      <c r="L20" s="163" t="b">
        <f t="shared" si="3"/>
        <v>0</v>
      </c>
    </row>
    <row r="21" spans="1:12" ht="12.75">
      <c r="A21" s="138" t="b">
        <v>0</v>
      </c>
      <c r="B21" s="139"/>
      <c r="C21" s="139"/>
      <c r="D21" s="139" t="s">
        <v>184</v>
      </c>
      <c r="E21" s="139"/>
      <c r="F21" s="139"/>
      <c r="G21" s="139"/>
      <c r="H21" s="139"/>
      <c r="I21" s="163">
        <f ca="1" t="shared" si="0"/>
      </c>
      <c r="J21" s="163">
        <f ca="1" t="shared" si="1"/>
      </c>
      <c r="K21" s="163">
        <f ca="1" t="shared" si="2"/>
      </c>
      <c r="L21" s="163" t="b">
        <f t="shared" si="3"/>
        <v>0</v>
      </c>
    </row>
    <row r="22" spans="1:12" ht="12.75">
      <c r="A22" s="138" t="b">
        <v>0</v>
      </c>
      <c r="B22" s="139"/>
      <c r="C22" s="139"/>
      <c r="D22" s="139" t="s">
        <v>184</v>
      </c>
      <c r="E22" s="139"/>
      <c r="F22" s="139"/>
      <c r="G22" s="139"/>
      <c r="H22" s="139"/>
      <c r="I22" s="163">
        <f ca="1" t="shared" si="0"/>
      </c>
      <c r="J22" s="163">
        <f ca="1" t="shared" si="1"/>
      </c>
      <c r="K22" s="163">
        <f ca="1" t="shared" si="2"/>
      </c>
      <c r="L22" s="163" t="b">
        <f t="shared" si="3"/>
        <v>0</v>
      </c>
    </row>
    <row r="23" spans="1:12" ht="12.75">
      <c r="A23" s="138" t="b">
        <v>0</v>
      </c>
      <c r="B23" s="139"/>
      <c r="C23" s="139"/>
      <c r="D23" s="139" t="s">
        <v>184</v>
      </c>
      <c r="E23" s="139"/>
      <c r="F23" s="139"/>
      <c r="G23" s="139"/>
      <c r="H23" s="139"/>
      <c r="I23" s="163">
        <f ca="1" t="shared" si="0"/>
      </c>
      <c r="J23" s="163">
        <f ca="1" t="shared" si="1"/>
      </c>
      <c r="K23" s="163">
        <f ca="1" t="shared" si="2"/>
      </c>
      <c r="L23" s="163" t="b">
        <f t="shared" si="3"/>
        <v>0</v>
      </c>
    </row>
    <row r="24" spans="1:12" ht="12.75">
      <c r="A24" s="138" t="b">
        <v>0</v>
      </c>
      <c r="B24" s="139"/>
      <c r="C24" s="139"/>
      <c r="D24" s="139" t="s">
        <v>184</v>
      </c>
      <c r="E24" s="139"/>
      <c r="F24" s="139"/>
      <c r="G24" s="139"/>
      <c r="H24" s="139"/>
      <c r="I24" s="163">
        <f ca="1" t="shared" si="0"/>
      </c>
      <c r="J24" s="163">
        <f ca="1" t="shared" si="1"/>
      </c>
      <c r="K24" s="163">
        <f ca="1" t="shared" si="2"/>
      </c>
      <c r="L24" s="163" t="b">
        <f t="shared" si="3"/>
        <v>0</v>
      </c>
    </row>
    <row r="25" spans="1:12" ht="12.75">
      <c r="A25" s="138" t="b">
        <v>0</v>
      </c>
      <c r="B25" s="139"/>
      <c r="C25" s="139"/>
      <c r="D25" s="139" t="s">
        <v>184</v>
      </c>
      <c r="E25" s="139"/>
      <c r="F25" s="139"/>
      <c r="G25" s="139"/>
      <c r="H25" s="139"/>
      <c r="I25" s="163">
        <f ca="1" t="shared" si="0"/>
      </c>
      <c r="J25" s="163">
        <f ca="1" t="shared" si="1"/>
      </c>
      <c r="K25" s="163">
        <f ca="1" t="shared" si="2"/>
      </c>
      <c r="L25" s="163" t="b">
        <f t="shared" si="3"/>
        <v>0</v>
      </c>
    </row>
    <row r="26" spans="1:12" ht="12.75">
      <c r="A26" s="138" t="b">
        <v>0</v>
      </c>
      <c r="B26" s="139"/>
      <c r="C26" s="139"/>
      <c r="D26" s="139" t="s">
        <v>184</v>
      </c>
      <c r="E26" s="139"/>
      <c r="F26" s="139"/>
      <c r="G26" s="139"/>
      <c r="H26" s="139"/>
      <c r="I26" s="163">
        <f ca="1" t="shared" si="0"/>
      </c>
      <c r="J26" s="163">
        <f ca="1" t="shared" si="1"/>
      </c>
      <c r="K26" s="163">
        <f ca="1" t="shared" si="2"/>
      </c>
      <c r="L26" s="163" t="b">
        <f t="shared" si="3"/>
        <v>0</v>
      </c>
    </row>
    <row r="27" spans="1:12" ht="12.75">
      <c r="A27" s="138" t="b">
        <v>0</v>
      </c>
      <c r="B27" s="139"/>
      <c r="C27" s="139"/>
      <c r="D27" s="139" t="s">
        <v>184</v>
      </c>
      <c r="E27" s="139"/>
      <c r="F27" s="139"/>
      <c r="G27" s="139"/>
      <c r="H27" s="139"/>
      <c r="I27" s="163">
        <f ca="1" t="shared" si="0"/>
      </c>
      <c r="J27" s="163">
        <f ca="1" t="shared" si="1"/>
      </c>
      <c r="K27" s="163">
        <f ca="1" t="shared" si="2"/>
      </c>
      <c r="L27" s="163" t="b">
        <f t="shared" si="3"/>
        <v>0</v>
      </c>
    </row>
    <row r="28" spans="1:12" ht="12.75">
      <c r="A28" s="138" t="b">
        <v>0</v>
      </c>
      <c r="B28" s="139"/>
      <c r="C28" s="139"/>
      <c r="D28" s="139" t="s">
        <v>184</v>
      </c>
      <c r="E28" s="139"/>
      <c r="F28" s="139"/>
      <c r="G28" s="139"/>
      <c r="H28" s="139"/>
      <c r="I28" s="163">
        <f ca="1" t="shared" si="0"/>
      </c>
      <c r="J28" s="163">
        <f ca="1" t="shared" si="1"/>
      </c>
      <c r="K28" s="163">
        <f ca="1" t="shared" si="2"/>
      </c>
      <c r="L28" s="163" t="b">
        <f t="shared" si="3"/>
        <v>0</v>
      </c>
    </row>
    <row r="29" spans="1:12" ht="12.75">
      <c r="A29" s="138" t="b">
        <v>0</v>
      </c>
      <c r="B29" s="139"/>
      <c r="C29" s="139"/>
      <c r="D29" s="139" t="s">
        <v>184</v>
      </c>
      <c r="E29" s="139"/>
      <c r="F29" s="139"/>
      <c r="G29" s="139"/>
      <c r="H29" s="139"/>
      <c r="I29" s="163">
        <f ca="1" t="shared" si="0"/>
      </c>
      <c r="J29" s="163">
        <f ca="1" t="shared" si="1"/>
      </c>
      <c r="K29" s="163">
        <f ca="1" t="shared" si="2"/>
      </c>
      <c r="L29" s="163" t="b">
        <f t="shared" si="3"/>
        <v>0</v>
      </c>
    </row>
    <row r="30" spans="1:12" ht="12.75">
      <c r="A30" s="138" t="b">
        <v>0</v>
      </c>
      <c r="B30" s="139"/>
      <c r="C30" s="139"/>
      <c r="D30" s="139" t="s">
        <v>184</v>
      </c>
      <c r="E30" s="139"/>
      <c r="F30" s="139"/>
      <c r="G30" s="139"/>
      <c r="H30" s="139"/>
      <c r="I30" s="163">
        <f ca="1" t="shared" si="0"/>
      </c>
      <c r="J30" s="163">
        <f ca="1" t="shared" si="1"/>
      </c>
      <c r="K30" s="163">
        <f ca="1" t="shared" si="2"/>
      </c>
      <c r="L30" s="163" t="b">
        <f t="shared" si="3"/>
        <v>0</v>
      </c>
    </row>
    <row r="31" spans="1:12" ht="12.75">
      <c r="A31" s="138" t="b">
        <v>0</v>
      </c>
      <c r="B31" s="139"/>
      <c r="C31" s="139"/>
      <c r="D31" s="139" t="s">
        <v>184</v>
      </c>
      <c r="E31" s="139"/>
      <c r="F31" s="139"/>
      <c r="G31" s="139"/>
      <c r="H31" s="139"/>
      <c r="I31" s="163">
        <f ca="1" t="shared" si="0"/>
      </c>
      <c r="J31" s="163">
        <f ca="1" t="shared" si="1"/>
      </c>
      <c r="K31" s="163">
        <f ca="1" t="shared" si="2"/>
      </c>
      <c r="L31" s="163" t="b">
        <f t="shared" si="3"/>
        <v>0</v>
      </c>
    </row>
    <row r="32" spans="1:12" ht="12.75">
      <c r="A32" s="138" t="b">
        <v>0</v>
      </c>
      <c r="B32" s="139"/>
      <c r="C32" s="139"/>
      <c r="D32" s="139" t="s">
        <v>184</v>
      </c>
      <c r="E32" s="139"/>
      <c r="F32" s="139"/>
      <c r="G32" s="139"/>
      <c r="H32" s="139"/>
      <c r="I32" s="163">
        <f ca="1" t="shared" si="0"/>
      </c>
      <c r="J32" s="163">
        <f ca="1" t="shared" si="1"/>
      </c>
      <c r="K32" s="163">
        <f ca="1" t="shared" si="2"/>
      </c>
      <c r="L32" s="163" t="b">
        <f t="shared" si="3"/>
        <v>0</v>
      </c>
    </row>
    <row r="33" spans="1:12" ht="12.75">
      <c r="A33" s="138" t="b">
        <v>0</v>
      </c>
      <c r="B33" s="139"/>
      <c r="C33" s="139"/>
      <c r="D33" s="139" t="s">
        <v>184</v>
      </c>
      <c r="E33" s="139"/>
      <c r="F33" s="139"/>
      <c r="G33" s="139"/>
      <c r="H33" s="139"/>
      <c r="I33" s="163">
        <f ca="1" t="shared" si="0"/>
      </c>
      <c r="J33" s="163">
        <f ca="1" t="shared" si="1"/>
      </c>
      <c r="K33" s="163">
        <f ca="1" t="shared" si="2"/>
      </c>
      <c r="L33" s="163" t="b">
        <f t="shared" si="3"/>
        <v>0</v>
      </c>
    </row>
    <row r="34" spans="1:12" ht="12.75">
      <c r="A34" s="138" t="b">
        <v>0</v>
      </c>
      <c r="B34" s="139"/>
      <c r="C34" s="139"/>
      <c r="D34" s="139" t="s">
        <v>184</v>
      </c>
      <c r="E34" s="139"/>
      <c r="F34" s="139"/>
      <c r="G34" s="139"/>
      <c r="H34" s="139"/>
      <c r="I34" s="163">
        <f ca="1" t="shared" si="0"/>
      </c>
      <c r="J34" s="163">
        <f ca="1" t="shared" si="1"/>
      </c>
      <c r="K34" s="163">
        <f ca="1" t="shared" si="2"/>
      </c>
      <c r="L34" s="163" t="b">
        <f t="shared" si="3"/>
        <v>0</v>
      </c>
    </row>
    <row r="35" spans="1:12" ht="12.75">
      <c r="A35" s="138" t="b">
        <v>0</v>
      </c>
      <c r="B35" s="139"/>
      <c r="C35" s="139"/>
      <c r="D35" s="139" t="s">
        <v>184</v>
      </c>
      <c r="E35" s="139"/>
      <c r="F35" s="139"/>
      <c r="G35" s="139"/>
      <c r="H35" s="139"/>
      <c r="I35" s="163">
        <f ca="1" t="shared" si="0"/>
      </c>
      <c r="J35" s="163">
        <f ca="1" t="shared" si="1"/>
      </c>
      <c r="K35" s="163">
        <f ca="1" t="shared" si="2"/>
      </c>
      <c r="L35" s="163" t="b">
        <f t="shared" si="3"/>
        <v>0</v>
      </c>
    </row>
    <row r="36" spans="1:12" ht="12.75">
      <c r="A36" s="138" t="b">
        <v>0</v>
      </c>
      <c r="B36" s="139"/>
      <c r="C36" s="139"/>
      <c r="D36" s="139" t="s">
        <v>184</v>
      </c>
      <c r="E36" s="139"/>
      <c r="F36" s="139"/>
      <c r="G36" s="139"/>
      <c r="H36" s="139"/>
      <c r="I36" s="163">
        <f ca="1" t="shared" si="0"/>
      </c>
      <c r="J36" s="163">
        <f ca="1" t="shared" si="1"/>
      </c>
      <c r="K36" s="163">
        <f ca="1" t="shared" si="2"/>
      </c>
      <c r="L36" s="163" t="b">
        <f t="shared" si="3"/>
        <v>0</v>
      </c>
    </row>
    <row r="37" spans="1:12" ht="12.75">
      <c r="A37" s="138" t="b">
        <v>0</v>
      </c>
      <c r="B37" s="139"/>
      <c r="C37" s="139"/>
      <c r="D37" s="139" t="s">
        <v>184</v>
      </c>
      <c r="E37" s="139"/>
      <c r="F37" s="139"/>
      <c r="G37" s="139"/>
      <c r="H37" s="139"/>
      <c r="I37" s="163">
        <f ca="1" t="shared" si="0"/>
      </c>
      <c r="J37" s="163">
        <f ca="1" t="shared" si="1"/>
      </c>
      <c r="K37" s="163">
        <f ca="1" t="shared" si="2"/>
      </c>
      <c r="L37" s="163" t="b">
        <f t="shared" si="3"/>
        <v>0</v>
      </c>
    </row>
    <row r="38" spans="1:12" ht="12.75">
      <c r="A38" s="138" t="b">
        <v>0</v>
      </c>
      <c r="B38" s="139"/>
      <c r="C38" s="139"/>
      <c r="D38" s="139" t="s">
        <v>184</v>
      </c>
      <c r="E38" s="139"/>
      <c r="F38" s="139"/>
      <c r="G38" s="139"/>
      <c r="H38" s="139"/>
      <c r="I38" s="163">
        <f ca="1" t="shared" si="0"/>
      </c>
      <c r="J38" s="163">
        <f ca="1" t="shared" si="1"/>
      </c>
      <c r="K38" s="163">
        <f ca="1" t="shared" si="2"/>
      </c>
      <c r="L38" s="163" t="b">
        <f t="shared" si="3"/>
        <v>0</v>
      </c>
    </row>
    <row r="39" spans="1:12" ht="12.75">
      <c r="A39" s="138" t="b">
        <v>0</v>
      </c>
      <c r="B39" s="139"/>
      <c r="C39" s="139"/>
      <c r="D39" s="139" t="s">
        <v>184</v>
      </c>
      <c r="E39" s="139"/>
      <c r="F39" s="139"/>
      <c r="G39" s="139"/>
      <c r="H39" s="139"/>
      <c r="I39" s="163">
        <f ca="1" t="shared" si="0"/>
      </c>
      <c r="J39" s="163">
        <f ca="1" t="shared" si="1"/>
      </c>
      <c r="K39" s="163">
        <f ca="1" t="shared" si="2"/>
      </c>
      <c r="L39" s="163" t="b">
        <f t="shared" si="3"/>
        <v>0</v>
      </c>
    </row>
    <row r="40" spans="1:12" ht="12.75">
      <c r="A40" s="138" t="b">
        <v>0</v>
      </c>
      <c r="B40" s="139"/>
      <c r="C40" s="139"/>
      <c r="D40" s="139" t="s">
        <v>184</v>
      </c>
      <c r="E40" s="139"/>
      <c r="F40" s="139"/>
      <c r="G40" s="139"/>
      <c r="H40" s="139"/>
      <c r="I40" s="163">
        <f ca="1" t="shared" si="0"/>
      </c>
      <c r="J40" s="163">
        <f ca="1" t="shared" si="1"/>
      </c>
      <c r="K40" s="163">
        <f ca="1" t="shared" si="2"/>
      </c>
      <c r="L40" s="163" t="b">
        <f t="shared" si="3"/>
        <v>0</v>
      </c>
    </row>
    <row r="41" spans="1:12" ht="12.75">
      <c r="A41" s="138" t="b">
        <v>0</v>
      </c>
      <c r="B41" s="139"/>
      <c r="C41" s="139"/>
      <c r="D41" s="139" t="s">
        <v>184</v>
      </c>
      <c r="E41" s="139"/>
      <c r="F41" s="139"/>
      <c r="G41" s="139"/>
      <c r="H41" s="139"/>
      <c r="I41" s="163">
        <f ca="1" t="shared" si="0"/>
      </c>
      <c r="J41" s="163">
        <f ca="1" t="shared" si="1"/>
      </c>
      <c r="K41" s="163">
        <f ca="1" t="shared" si="2"/>
      </c>
      <c r="L41" s="163" t="b">
        <f t="shared" si="3"/>
        <v>0</v>
      </c>
    </row>
    <row r="42" spans="1:12" ht="12.75">
      <c r="A42" s="138" t="b">
        <v>0</v>
      </c>
      <c r="B42" s="139"/>
      <c r="C42" s="139"/>
      <c r="D42" s="139" t="s">
        <v>184</v>
      </c>
      <c r="E42" s="139"/>
      <c r="F42" s="139"/>
      <c r="G42" s="139"/>
      <c r="H42" s="139"/>
      <c r="I42" s="163">
        <f ca="1" t="shared" si="0"/>
      </c>
      <c r="J42" s="163">
        <f ca="1" t="shared" si="1"/>
      </c>
      <c r="K42" s="163">
        <f ca="1" t="shared" si="2"/>
      </c>
      <c r="L42" s="163" t="b">
        <f t="shared" si="3"/>
        <v>0</v>
      </c>
    </row>
    <row r="43" spans="1:12" ht="12.75">
      <c r="A43" s="138" t="b">
        <v>0</v>
      </c>
      <c r="B43" s="39"/>
      <c r="C43" s="39"/>
      <c r="D43" s="139" t="s">
        <v>184</v>
      </c>
      <c r="E43" s="39"/>
      <c r="F43" s="39"/>
      <c r="G43" s="39"/>
      <c r="H43" s="39"/>
      <c r="I43" s="163">
        <f ca="1" t="shared" si="0"/>
      </c>
      <c r="J43" s="163">
        <f ca="1" t="shared" si="1"/>
      </c>
      <c r="K43" s="163">
        <f ca="1" t="shared" si="2"/>
      </c>
      <c r="L43" s="163" t="b">
        <f t="shared" si="3"/>
        <v>0</v>
      </c>
    </row>
    <row r="44" ht="12.75">
      <c r="A44" s="84" t="s">
        <v>238</v>
      </c>
    </row>
  </sheetData>
  <sheetProtection password="E71A" sheet="1" objects="1" scenarios="1"/>
  <mergeCells count="4">
    <mergeCell ref="D11:E11"/>
    <mergeCell ref="D10:E10"/>
    <mergeCell ref="D9:E9"/>
    <mergeCell ref="G9:H9"/>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15748031496062992" right="0.1968503937007874" top="0.15748031496062992" bottom="0.1968503937007874" header="0.15748031496062992" footer="0.1968503937007874"/>
  <pageSetup fitToHeight="1" fitToWidth="1" horizontalDpi="600" verticalDpi="600" orientation="landscape" paperSize="5" scale="97" r:id="rId3"/>
  <headerFooter alignWithMargins="0">
    <oddFooter>&amp;LTransition énergétique Québec</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Implantation simplifiée - CII - Programme ÉcoPerformance</dc:title>
  <dc:subject>Formulaire à remplir dans le cadre d’une demande d'aide financière au volet d’implantation simplifiée CII du programme ÉcoPerformance.</dc:subject>
  <dc:creator>Ministère de l’Environnement, de la Lutte contre les changements climatiques, de la Faune et des Parcs; MELCCFP</dc:creator>
  <cp:keywords>Programme ÉcoPerformance, implantation simplifiée, CII, aide financière</cp:keywords>
  <dc:description/>
  <cp:lastModifiedBy>Touati, Samy</cp:lastModifiedBy>
  <cp:lastPrinted>2023-01-18T16:28:04Z</cp:lastPrinted>
  <dcterms:created xsi:type="dcterms:W3CDTF">2007-11-05T15:37:51Z</dcterms:created>
  <dcterms:modified xsi:type="dcterms:W3CDTF">2024-03-22T15:31:35Z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